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xr:revisionPtr revIDLastSave="28" documentId="8_{3ED89CFC-5B29-4B3D-B9FB-9522E586FF81}" xr6:coauthVersionLast="47" xr6:coauthVersionMax="47" xr10:uidLastSave="{123B2AB7-52D1-4510-BF1D-5D79A60874BF}"/>
  <bookViews>
    <workbookView xWindow="-120" yWindow="-120" windowWidth="29040" windowHeight="17640" tabRatio="821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310 (2)_5...3d931dee_QNK8R2" sheetId="17" state="hidden" r:id="rId14"/>
    <sheet name="OSR_300 &amp; 317_1C00ID4" sheetId="19" state="hidden" r:id="rId15"/>
    <sheet name="OSR_300 (2)_...6aa5a22d_14M6XO4" sheetId="20" state="hidden" r:id="rId16"/>
    <sheet name="OSR_310_1CMTOSB" sheetId="22" state="hidden" r:id="rId17"/>
    <sheet name="OSR_300 (2)_e...5d0da5bf_6BPGAO" sheetId="23" state="hidden" r:id="rId18"/>
    <sheet name="OSR_330_10VFP5Y" sheetId="25" state="hidden" r:id="rId19"/>
    <sheet name="OSR_310 (2)_...6e684f08_1FLCNJG" sheetId="26" state="hidden" r:id="rId20"/>
    <sheet name="OSR_308_UAWDAG" sheetId="28" state="hidden" r:id="rId21"/>
    <sheet name="OSR_330 (2)_...8a14c83e_1NSH7XI" sheetId="29" state="hidden" r:id="rId22"/>
    <sheet name="OSR_331_10VKQAJ" sheetId="31" state="hidden" r:id="rId23"/>
    <sheet name="OSR_308 (2)_...47685838_1YQW4QY" sheetId="32" state="hidden" r:id="rId24"/>
    <sheet name="OSR_332_6NDVBW" sheetId="34" state="hidden" r:id="rId25"/>
    <sheet name="OSR_331 (2)_...7280af70_1P5SPLT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...853a34aa_1UNC34K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)...32d16c57_IVJ1QO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32" sheetId="33" r:id="rId51"/>
    <sheet name="301" sheetId="62" r:id="rId52"/>
    <sheet name="330" sheetId="24" r:id="rId53"/>
    <sheet name="307" sheetId="63" r:id="rId54"/>
    <sheet name="308" sheetId="27" r:id="rId55"/>
    <sheet name="311" sheetId="65" r:id="rId56"/>
    <sheet name="324" sheetId="73" r:id="rId57"/>
    <sheet name="331" sheetId="30" r:id="rId58"/>
    <sheet name="315" sheetId="67" r:id="rId59"/>
    <sheet name="326" sheetId="75" r:id="rId60"/>
    <sheet name="316" sheetId="68" r:id="rId61"/>
    <sheet name="Div 6" sheetId="51" r:id="rId62"/>
    <sheet name="317" sheetId="69" r:id="rId63"/>
    <sheet name="310" sheetId="21" r:id="rId64"/>
    <sheet name="309" sheetId="64" r:id="rId65"/>
    <sheet name="321" sheetId="71" r:id="rId66"/>
    <sheet name="322" sheetId="72" r:id="rId67"/>
    <sheet name="325" sheetId="74" r:id="rId68"/>
    <sheet name="327" sheetId="76" r:id="rId69"/>
    <sheet name="Div 4" sheetId="36" r:id="rId70"/>
    <sheet name="310 &amp; 491" sheetId="39" r:id="rId71"/>
    <sheet name="491" sheetId="42" r:id="rId72"/>
    <sheet name="405" sheetId="77" r:id="rId73"/>
    <sheet name="406" sheetId="78" r:id="rId74"/>
    <sheet name="411" sheetId="79" r:id="rId75"/>
    <sheet name="412" sheetId="80" r:id="rId76"/>
    <sheet name="413" sheetId="81" r:id="rId77"/>
    <sheet name="414" sheetId="82" r:id="rId78"/>
    <sheet name="415" sheetId="83" r:id="rId79"/>
    <sheet name="418" sheetId="84" r:id="rId80"/>
    <sheet name="423" sheetId="85" r:id="rId81"/>
    <sheet name="424" sheetId="86" r:id="rId82"/>
    <sheet name="425" sheetId="87" r:id="rId83"/>
    <sheet name="455" sheetId="92" r:id="rId84"/>
    <sheet name="492" sheetId="45" r:id="rId85"/>
    <sheet name="430" sheetId="88" r:id="rId86"/>
    <sheet name="433" sheetId="89" r:id="rId87"/>
    <sheet name="444" sheetId="90" r:id="rId88"/>
    <sheet name="450" sheetId="91" r:id="rId89"/>
    <sheet name="Div 5" sheetId="48" r:id="rId90"/>
    <sheet name="501" sheetId="93" r:id="rId91"/>
    <sheet name="Dept" sheetId="94" state="hidden" r:id="rId92"/>
    <sheet name="OSR_Dept_Y0WUKY" sheetId="95" state="hidden" r:id="rId93"/>
    <sheet name="OSR_Summary (...56e5d78f_5JEYZH" sheetId="96" state="hidden" r:id="rId94"/>
  </sheets>
  <definedNames>
    <definedName name="OSRRefD13x_0" localSheetId="48">'300'!$D$13:$D$18</definedName>
    <definedName name="OSRRefD13x_0" localSheetId="49">'300 &amp; 317'!$D$13:$D$18</definedName>
    <definedName name="OSRRefD13x_0" localSheetId="53">'307'!$D$13:$D$15</definedName>
    <definedName name="OSRRefD13x_0" localSheetId="54">'308'!$D$13:$D$16</definedName>
    <definedName name="OSRRefD13x_0" localSheetId="63">'310'!$D$13:$D$16</definedName>
    <definedName name="OSRRefD13x_0" localSheetId="70">'310 &amp; 491'!$D$13:$D$18</definedName>
    <definedName name="OSRRefD13x_0" localSheetId="55">'311'!$D$13:$D$16</definedName>
    <definedName name="OSRRefD13x_0" localSheetId="58">'315'!$D$13:$D$16</definedName>
    <definedName name="OSRRefD13x_0" localSheetId="60">'316'!$D$13:$D$17</definedName>
    <definedName name="OSRRefD13x_0" localSheetId="62">'317'!$D$13:$D$16</definedName>
    <definedName name="OSRRefD13x_0" localSheetId="65">'321'!$D$13:$D$14</definedName>
    <definedName name="OSRRefD13x_0" localSheetId="56">'324'!$D$13:$D$14</definedName>
    <definedName name="OSRRefD13x_0" localSheetId="67">'325'!$D$13:$D$14</definedName>
    <definedName name="OSRRefD13x_0" localSheetId="59">'326'!$D$13:$D$15</definedName>
    <definedName name="OSRRefD13x_0" localSheetId="68">'327'!$D$13:$D$15</definedName>
    <definedName name="OSRRefD13x_0" localSheetId="52">'330'!$D$13:$D$15</definedName>
    <definedName name="OSRRefD13x_0" localSheetId="57">'331'!$D$13:$D$16</definedName>
    <definedName name="OSRRefD13x_0" localSheetId="50">'332'!$D$13:$D$17</definedName>
    <definedName name="OSRRefD13x_0" localSheetId="72">'405'!$D$13:$D$16</definedName>
    <definedName name="OSRRefD13x_0" localSheetId="78">'415'!$D$13:$D$16</definedName>
    <definedName name="OSRRefD13x_0" localSheetId="79">'418'!$D$13:$D$14</definedName>
    <definedName name="OSRRefD13x_0" localSheetId="86">'433'!$D$13:$D$16</definedName>
    <definedName name="OSRRefD13x_0" localSheetId="87">'444'!$D$13:$D$16</definedName>
    <definedName name="OSRRefD13x_0" localSheetId="88">'450'!$D$13:$D$16</definedName>
    <definedName name="OSRRefD13x_0" localSheetId="71">'491'!$D$13:$D$16</definedName>
    <definedName name="OSRRefD13x_0" localSheetId="84">'492'!$D$13:$D$16</definedName>
    <definedName name="OSRRefD13x_0" localSheetId="90">'501'!$D$13</definedName>
    <definedName name="OSRRefD13x_0" localSheetId="47">'Div 3'!$D$13:$D$20</definedName>
    <definedName name="OSRRefD13x_0" localSheetId="69">'Div 4'!$D$13:$D$18</definedName>
    <definedName name="OSRRefD13x_0" localSheetId="89">'Div 5'!$D$13</definedName>
    <definedName name="OSRRefD13x_0" localSheetId="61">'Div 6'!$D$13:$D$16</definedName>
    <definedName name="OSRRefD13x_0" localSheetId="2">Summary!$D$13:$D$22</definedName>
    <definedName name="OSRRefD16x_0" localSheetId="48">'300'!$D$21:$D$47</definedName>
    <definedName name="OSRRefD16x_0" localSheetId="49">'300 &amp; 317'!$D$21:$D$53</definedName>
    <definedName name="OSRRefD16x_0" localSheetId="53">'307'!$D$18:$D$27</definedName>
    <definedName name="OSRRefD16x_0" localSheetId="54">'308'!$D$19:$D$28</definedName>
    <definedName name="OSRRefD16x_0" localSheetId="63">'310'!$D$19:$D$21</definedName>
    <definedName name="OSRRefD16x_0" localSheetId="70">'310 &amp; 491'!$D$21:$D$23</definedName>
    <definedName name="OSRRefD16x_0" localSheetId="55">'311'!$D$19:$D$28</definedName>
    <definedName name="OSRRefD16x_0" localSheetId="58">'315'!$D$19:$D$37</definedName>
    <definedName name="OSRRefD16x_0" localSheetId="60">'316'!$D$20</definedName>
    <definedName name="OSRRefD16x_0" localSheetId="62">'317'!$D$19:$D$28</definedName>
    <definedName name="OSRRefD16x_0" localSheetId="65">'321'!$D$17</definedName>
    <definedName name="OSRRefD16x_0" localSheetId="56">'324'!$D$17</definedName>
    <definedName name="OSRRefD16x_0" localSheetId="67">'325'!$D$17:$D$19</definedName>
    <definedName name="OSRRefD16x_0" localSheetId="59">'326'!$D$18:$D$20</definedName>
    <definedName name="OSRRefD16x_0" localSheetId="68">'327'!$D$18:$D$20</definedName>
    <definedName name="OSRRefD16x_0" localSheetId="52">'330'!$D$18:$D$27</definedName>
    <definedName name="OSRRefD16x_0" localSheetId="57">'331'!$D$19:$D$37</definedName>
    <definedName name="OSRRefD16x_0" localSheetId="50">'332'!$D$20</definedName>
    <definedName name="OSRRefD16x_0" localSheetId="72">'405'!$D$19:$D$21</definedName>
    <definedName name="OSRRefD16x_0" localSheetId="78">'415'!$D$19:$D$21</definedName>
    <definedName name="OSRRefD16x_0" localSheetId="79">'418'!$D$17:$D$18</definedName>
    <definedName name="OSRRefD16x_0" localSheetId="82">'425'!$D$15</definedName>
    <definedName name="OSRRefD16x_0" localSheetId="86">'433'!$D$19:$D$21</definedName>
    <definedName name="OSRRefD16x_0" localSheetId="87">'444'!$D$19:$D$21</definedName>
    <definedName name="OSRRefD16x_0" localSheetId="88">'450'!$D$19:$D$21</definedName>
    <definedName name="OSRRefD16x_0" localSheetId="71">'491'!$D$19:$D$21</definedName>
    <definedName name="OSRRefD16x_0" localSheetId="84">'492'!$D$19:$D$21</definedName>
    <definedName name="OSRRefD16x_0" localSheetId="47">'Div 3'!$D$23:$D$51</definedName>
    <definedName name="OSRRefD16x_0" localSheetId="69">'Div 4'!$D$21:$D$23</definedName>
    <definedName name="OSRRefD16x_0" localSheetId="61">'Div 6'!$D$19:$D$28</definedName>
    <definedName name="OSRRefD16x_0" localSheetId="2">Summary!$D$25:$D$59</definedName>
    <definedName name="OSRRefD22_0x_0" localSheetId="40">'200'!$D$20</definedName>
    <definedName name="OSRRefD22_0x_0" localSheetId="41">'201'!$D$20:$D$28</definedName>
    <definedName name="OSRRefD22_0x_0" localSheetId="42">'202'!$D$20:$D$28</definedName>
    <definedName name="OSRRefD22_0x_0" localSheetId="43">'203'!$D$20:$D$29</definedName>
    <definedName name="OSRRefD22_0x_0" localSheetId="44">'204'!$D$20:$D$28</definedName>
    <definedName name="OSRRefD22_0x_0" localSheetId="45">'205'!$D$20:$D$28</definedName>
    <definedName name="OSRRefD22_0x_0" localSheetId="46">'206'!$D$20:$D$28</definedName>
    <definedName name="OSRRefD22_0x_0" localSheetId="48">'300'!$D$53:$D$62</definedName>
    <definedName name="OSRRefD22_0x_0" localSheetId="49">'300 &amp; 317'!$D$59:$D$68</definedName>
    <definedName name="OSRRefD22_0x_0" localSheetId="51">'301'!$D$20:$D$29</definedName>
    <definedName name="OSRRefD22_0x_0" localSheetId="53">'307'!$D$33:$D$40</definedName>
    <definedName name="OSRRefD22_0x_0" localSheetId="54">'308'!$D$34:$D$43</definedName>
    <definedName name="OSRRefD22_0x_0" localSheetId="64">'309'!$D$20</definedName>
    <definedName name="OSRRefD22_0x_0" localSheetId="63">'310'!$D$27:$D$35</definedName>
    <definedName name="OSRRefD22_0x_0" localSheetId="70">'310 &amp; 491'!$D$29:$D$37</definedName>
    <definedName name="OSRRefD22_0x_0" localSheetId="55">'311'!$D$34:$D$43</definedName>
    <definedName name="OSRRefD22_0x_0" localSheetId="58">'315'!$D$43:$D$51</definedName>
    <definedName name="OSRRefD22_0x_0" localSheetId="60">'316'!$D$26:$D$34</definedName>
    <definedName name="OSRRefD22_0x_0" localSheetId="62">'317'!$D$34:$D$43</definedName>
    <definedName name="OSRRefD22_0x_0" localSheetId="65">'321'!$D$23:$D$31</definedName>
    <definedName name="OSRRefD22_0x_0" localSheetId="66">'322'!$D$20</definedName>
    <definedName name="OSRRefD22_0x_0" localSheetId="67">'325'!$D$25:$D$32</definedName>
    <definedName name="OSRRefD22_0x_0" localSheetId="59">'326'!$D$26:$D$34</definedName>
    <definedName name="OSRRefD22_0x_0" localSheetId="68">'327'!$D$26</definedName>
    <definedName name="OSRRefD22_0x_0" localSheetId="52">'330'!$D$33:$D$40</definedName>
    <definedName name="OSRRefD22_0x_0" localSheetId="57">'331'!$D$43:$D$51</definedName>
    <definedName name="OSRRefD22_0x_0" localSheetId="50">'332'!$D$26:$D$34</definedName>
    <definedName name="OSRRefD22_0x_0" localSheetId="72">'405'!$D$27:$D$35</definedName>
    <definedName name="OSRRefD22_0x_0" localSheetId="73">'406'!$D$20</definedName>
    <definedName name="OSRRefD22_0x_0" localSheetId="74">'411'!$D$20:$D$28</definedName>
    <definedName name="OSRRefD22_0x_0" localSheetId="75">'412'!$D$20</definedName>
    <definedName name="OSRRefD22_0x_0" localSheetId="76">'413'!$D$20</definedName>
    <definedName name="OSRRefD22_0x_0" localSheetId="77">'414'!$D$20</definedName>
    <definedName name="OSRRefD22_0x_0" localSheetId="78">'415'!$D$27:$D$35</definedName>
    <definedName name="OSRRefD22_0x_0" localSheetId="79">'418'!$D$24:$D$32</definedName>
    <definedName name="OSRRefD22_0x_0" localSheetId="80">'423'!$D$20:$D$27</definedName>
    <definedName name="OSRRefD22_0x_0" localSheetId="81">'424'!$D$20</definedName>
    <definedName name="OSRRefD22_0x_0" localSheetId="82">'425'!$D$21</definedName>
    <definedName name="OSRRefD22_0x_0" localSheetId="85">'430'!$D$20:$D$28</definedName>
    <definedName name="OSRRefD22_0x_0" localSheetId="86">'433'!$D$27:$D$36</definedName>
    <definedName name="OSRRefD22_0x_0" localSheetId="87">'444'!$D$27:$D$36</definedName>
    <definedName name="OSRRefD22_0x_0" localSheetId="88">'450'!$D$27:$D$36</definedName>
    <definedName name="OSRRefD22_0x_0" localSheetId="71">'491'!$D$27:$D$35</definedName>
    <definedName name="OSRRefD22_0x_0" localSheetId="84">'492'!$D$27:$D$36</definedName>
    <definedName name="OSRRefD22_0x_0" localSheetId="90">'501'!$D$21:$D$29</definedName>
    <definedName name="OSRRefD22_0x_0" localSheetId="39">'Div 2'!$D$20:$D$30</definedName>
    <definedName name="OSRRefD22_0x_0" localSheetId="47">'Div 3'!$D$57:$D$66</definedName>
    <definedName name="OSRRefD22_0x_0" localSheetId="69">'Div 4'!$D$29:$D$38</definedName>
    <definedName name="OSRRefD22_0x_0" localSheetId="89">'Div 5'!$D$21:$D$29</definedName>
    <definedName name="OSRRefD22_0x_0" localSheetId="61">'Div 6'!$D$34:$D$43</definedName>
    <definedName name="OSRRefD22_0x_0" localSheetId="2">Summary!$D$65:$D$74</definedName>
    <definedName name="OSRRefD22_10x_0" localSheetId="41">'201'!$D$59</definedName>
    <definedName name="OSRRefD22_10x_0" localSheetId="42">'202'!$D$59</definedName>
    <definedName name="OSRRefD22_10x_0" localSheetId="43">'203'!$D$61</definedName>
    <definedName name="OSRRefD22_10x_0" localSheetId="48">'300'!$D$93:$D$94</definedName>
    <definedName name="OSRRefD22_10x_0" localSheetId="49">'300 &amp; 317'!$D$99:$D$100</definedName>
    <definedName name="OSRRefD22_10x_0" localSheetId="51">'301'!$D$59</definedName>
    <definedName name="OSRRefD22_10x_0" localSheetId="53">'307'!$D$71:$D$72</definedName>
    <definedName name="OSRRefD22_10x_0" localSheetId="54">'308'!$D$74:$D$75</definedName>
    <definedName name="OSRRefD22_10x_0" localSheetId="63">'310'!$D$65:$D$67</definedName>
    <definedName name="OSRRefD22_10x_0" localSheetId="70">'310 &amp; 491'!$D$67</definedName>
    <definedName name="OSRRefD22_10x_0" localSheetId="55">'311'!$D$74:$D$75</definedName>
    <definedName name="OSRRefD22_10x_0" localSheetId="58">'315'!$D$81</definedName>
    <definedName name="OSRRefD22_10x_0" localSheetId="60">'316'!$D$68</definedName>
    <definedName name="OSRRefD22_10x_0" localSheetId="65">'321'!$D$64</definedName>
    <definedName name="OSRRefD22_10x_0" localSheetId="67">'325'!$D$62:$D$64</definedName>
    <definedName name="OSRRefD22_10x_0" localSheetId="59">'326'!$D$63</definedName>
    <definedName name="OSRRefD22_10x_0" localSheetId="52">'330'!$D$71:$D$72</definedName>
    <definedName name="OSRRefD22_10x_0" localSheetId="57">'331'!$D$82</definedName>
    <definedName name="OSRRefD22_10x_0" localSheetId="50">'332'!$D$68</definedName>
    <definedName name="OSRRefD22_10x_0" localSheetId="72">'405'!$D$66:$D$69</definedName>
    <definedName name="OSRRefD22_10x_0" localSheetId="74">'411'!$D$62</definedName>
    <definedName name="OSRRefD22_10x_0" localSheetId="78">'415'!$D$65:$D$66</definedName>
    <definedName name="OSRRefD22_10x_0" localSheetId="79">'418'!$D$66</definedName>
    <definedName name="OSRRefD22_10x_0" localSheetId="86">'433'!$D$65</definedName>
    <definedName name="OSRRefD22_10x_0" localSheetId="87">'444'!$D$65</definedName>
    <definedName name="OSRRefD22_10x_0" localSheetId="88">'450'!$D$65</definedName>
    <definedName name="OSRRefD22_10x_0" localSheetId="71">'491'!$D$65</definedName>
    <definedName name="OSRRefD22_10x_0" localSheetId="84">'492'!$D$65</definedName>
    <definedName name="OSRRefD22_10x_0" localSheetId="90">'501'!$D$61</definedName>
    <definedName name="OSRRefD22_10x_0" localSheetId="39">'Div 2'!$D$60</definedName>
    <definedName name="OSRRefD22_10x_0" localSheetId="47">'Div 3'!$D$97:$D$98</definedName>
    <definedName name="OSRRefD22_10x_0" localSheetId="69">'Div 4'!$D$68</definedName>
    <definedName name="OSRRefD22_10x_0" localSheetId="89">'Div 5'!$D$61</definedName>
    <definedName name="OSRRefD22_10x_0" localSheetId="2">Summary!$D$105:$D$106</definedName>
    <definedName name="OSRRefD22_11x_0" localSheetId="41">'201'!$D$61:$D$62</definedName>
    <definedName name="OSRRefD22_11x_0" localSheetId="42">'202'!$D$61</definedName>
    <definedName name="OSRRefD22_11x_0" localSheetId="43">'203'!$D$63:$D$66</definedName>
    <definedName name="OSRRefD22_11x_0" localSheetId="48">'300'!$D$96:$D$97</definedName>
    <definedName name="OSRRefD22_11x_0" localSheetId="49">'300 &amp; 317'!$D$102:$D$103</definedName>
    <definedName name="OSRRefD22_11x_0" localSheetId="51">'301'!$D$61</definedName>
    <definedName name="OSRRefD22_11x_0" localSheetId="53">'307'!$D$74:$D$76</definedName>
    <definedName name="OSRRefD22_11x_0" localSheetId="54">'308'!$D$77:$D$78</definedName>
    <definedName name="OSRRefD22_11x_0" localSheetId="63">'310'!$D$69</definedName>
    <definedName name="OSRRefD22_11x_0" localSheetId="70">'310 &amp; 491'!$D$69</definedName>
    <definedName name="OSRRefD22_11x_0" localSheetId="55">'311'!$D$77:$D$78</definedName>
    <definedName name="OSRRefD22_11x_0" localSheetId="58">'315'!$D$83:$D$84</definedName>
    <definedName name="OSRRefD22_11x_0" localSheetId="65">'321'!$D$66</definedName>
    <definedName name="OSRRefD22_11x_0" localSheetId="67">'325'!$D$66:$D$68</definedName>
    <definedName name="OSRRefD22_11x_0" localSheetId="59">'326'!$D$65:$D$66</definedName>
    <definedName name="OSRRefD22_11x_0" localSheetId="52">'330'!$D$74:$D$76</definedName>
    <definedName name="OSRRefD22_11x_0" localSheetId="57">'331'!$D$84</definedName>
    <definedName name="OSRRefD22_11x_0" localSheetId="72">'405'!$D$71</definedName>
    <definedName name="OSRRefD22_11x_0" localSheetId="74">'411'!$D$64</definedName>
    <definedName name="OSRRefD22_11x_0" localSheetId="78">'415'!$D$68:$D$71</definedName>
    <definedName name="OSRRefD22_11x_0" localSheetId="79">'418'!$D$68:$D$75</definedName>
    <definedName name="OSRRefD22_11x_0" localSheetId="86">'433'!$D$67:$D$69</definedName>
    <definedName name="OSRRefD22_11x_0" localSheetId="87">'444'!$D$67:$D$68</definedName>
    <definedName name="OSRRefD22_11x_0" localSheetId="88">'450'!$D$67:$D$69</definedName>
    <definedName name="OSRRefD22_11x_0" localSheetId="71">'491'!$D$67</definedName>
    <definedName name="OSRRefD22_11x_0" localSheetId="84">'492'!$D$67</definedName>
    <definedName name="OSRRefD22_11x_0" localSheetId="90">'501'!$D$63:$D$64</definedName>
    <definedName name="OSRRefD22_11x_0" localSheetId="39">'Div 2'!$D$62</definedName>
    <definedName name="OSRRefD22_11x_0" localSheetId="47">'Div 3'!$D$100:$D$101</definedName>
    <definedName name="OSRRefD22_11x_0" localSheetId="69">'Div 4'!$D$70</definedName>
    <definedName name="OSRRefD22_11x_0" localSheetId="89">'Div 5'!$D$63:$D$64</definedName>
    <definedName name="OSRRefD22_11x_0" localSheetId="2">Summary!$D$108:$D$109</definedName>
    <definedName name="OSRRefD22_12x_0" localSheetId="41">'201'!$D$64</definedName>
    <definedName name="OSRRefD22_12x_0" localSheetId="43">'203'!$D$68</definedName>
    <definedName name="OSRRefD22_12x_0" localSheetId="48">'300'!$D$99</definedName>
    <definedName name="OSRRefD22_12x_0" localSheetId="49">'300 &amp; 317'!$D$105</definedName>
    <definedName name="OSRRefD22_12x_0" localSheetId="51">'301'!$D$63</definedName>
    <definedName name="OSRRefD22_12x_0" localSheetId="53">'307'!$D$78</definedName>
    <definedName name="OSRRefD22_12x_0" localSheetId="63">'310'!$D$71:$D$73</definedName>
    <definedName name="OSRRefD22_12x_0" localSheetId="70">'310 &amp; 491'!$D$71:$D$73</definedName>
    <definedName name="OSRRefD22_12x_0" localSheetId="58">'315'!$D$86:$D$88</definedName>
    <definedName name="OSRRefD22_12x_0" localSheetId="67">'325'!$D$70:$D$74</definedName>
    <definedName name="OSRRefD22_12x_0" localSheetId="59">'326'!$D$68:$D$69</definedName>
    <definedName name="OSRRefD22_12x_0" localSheetId="52">'330'!$D$78</definedName>
    <definedName name="OSRRefD22_12x_0" localSheetId="57">'331'!$D$86</definedName>
    <definedName name="OSRRefD22_12x_0" localSheetId="72">'405'!$D$73:$D$80</definedName>
    <definedName name="OSRRefD22_12x_0" localSheetId="74">'411'!$D$66</definedName>
    <definedName name="OSRRefD22_12x_0" localSheetId="78">'415'!$D$73</definedName>
    <definedName name="OSRRefD22_12x_0" localSheetId="79">'418'!$D$77:$D$78</definedName>
    <definedName name="OSRRefD22_12x_0" localSheetId="86">'433'!$D$71:$D$74</definedName>
    <definedName name="OSRRefD22_12x_0" localSheetId="87">'444'!$D$70:$D$73</definedName>
    <definedName name="OSRRefD22_12x_0" localSheetId="88">'450'!$D$71:$D$74</definedName>
    <definedName name="OSRRefD22_12x_0" localSheetId="71">'491'!$D$69:$D$71</definedName>
    <definedName name="OSRRefD22_12x_0" localSheetId="84">'492'!$D$69:$D$71</definedName>
    <definedName name="OSRRefD22_12x_0" localSheetId="90">'501'!$D$66</definedName>
    <definedName name="OSRRefD22_12x_0" localSheetId="39">'Div 2'!$D$64:$D$67</definedName>
    <definedName name="OSRRefD22_12x_0" localSheetId="47">'Div 3'!$D$103</definedName>
    <definedName name="OSRRefD22_12x_0" localSheetId="69">'Div 4'!$D$72</definedName>
    <definedName name="OSRRefD22_12x_0" localSheetId="89">'Div 5'!$D$66</definedName>
    <definedName name="OSRRefD22_12x_0" localSheetId="2">Summary!$D$111</definedName>
    <definedName name="OSRRefD22_13x_0" localSheetId="43">'203'!$D$70</definedName>
    <definedName name="OSRRefD22_13x_0" localSheetId="48">'300'!$D$101</definedName>
    <definedName name="OSRRefD22_13x_0" localSheetId="49">'300 &amp; 317'!$D$107</definedName>
    <definedName name="OSRRefD22_13x_0" localSheetId="51">'301'!$D$65</definedName>
    <definedName name="OSRRefD22_13x_0" localSheetId="63">'310'!$D$75:$D$79</definedName>
    <definedName name="OSRRefD22_13x_0" localSheetId="70">'310 &amp; 491'!$D$75</definedName>
    <definedName name="OSRRefD22_13x_0" localSheetId="58">'315'!$D$90:$D$91</definedName>
    <definedName name="OSRRefD22_13x_0" localSheetId="67">'325'!$D$76:$D$77</definedName>
    <definedName name="OSRRefD22_13x_0" localSheetId="59">'326'!$D$71:$D$72</definedName>
    <definedName name="OSRRefD22_13x_0" localSheetId="57">'331'!$D$88:$D$89</definedName>
    <definedName name="OSRRefD22_13x_0" localSheetId="72">'405'!$D$82</definedName>
    <definedName name="OSRRefD22_13x_0" localSheetId="74">'411'!$D$68</definedName>
    <definedName name="OSRRefD22_13x_0" localSheetId="78">'415'!$D$75:$D$80</definedName>
    <definedName name="OSRRefD22_13x_0" localSheetId="79">'418'!$D$80</definedName>
    <definedName name="OSRRefD22_13x_0" localSheetId="86">'433'!$D$76:$D$83</definedName>
    <definedName name="OSRRefD22_13x_0" localSheetId="87">'444'!$D$75:$D$81</definedName>
    <definedName name="OSRRefD22_13x_0" localSheetId="88">'450'!$D$76:$D$82</definedName>
    <definedName name="OSRRefD22_13x_0" localSheetId="71">'491'!$D$73:$D$77</definedName>
    <definedName name="OSRRefD22_13x_0" localSheetId="84">'492'!$D$73:$D$76</definedName>
    <definedName name="OSRRefD22_13x_0" localSheetId="39">'Div 2'!$D$69:$D$72</definedName>
    <definedName name="OSRRefD22_13x_0" localSheetId="47">'Div 3'!$D$105</definedName>
    <definedName name="OSRRefD22_13x_0" localSheetId="69">'Div 4'!$D$74</definedName>
    <definedName name="OSRRefD22_13x_0" localSheetId="2">Summary!$D$113</definedName>
    <definedName name="OSRRefD22_14x_0" localSheetId="48">'300'!$D$103</definedName>
    <definedName name="OSRRefD22_14x_0" localSheetId="49">'300 &amp; 317'!$D$109</definedName>
    <definedName name="OSRRefD22_14x_0" localSheetId="51">'301'!$D$67:$D$70</definedName>
    <definedName name="OSRRefD22_14x_0" localSheetId="63">'310'!$D$81:$D$82</definedName>
    <definedName name="OSRRefD22_14x_0" localSheetId="70">'310 &amp; 491'!$D$77:$D$81</definedName>
    <definedName name="OSRRefD22_14x_0" localSheetId="58">'315'!$D$93:$D$95</definedName>
    <definedName name="OSRRefD22_14x_0" localSheetId="67">'325'!$D$79</definedName>
    <definedName name="OSRRefD22_14x_0" localSheetId="59">'326'!$D$74:$D$76</definedName>
    <definedName name="OSRRefD22_14x_0" localSheetId="57">'331'!$D$91:$D$93</definedName>
    <definedName name="OSRRefD22_14x_0" localSheetId="72">'405'!$D$84</definedName>
    <definedName name="OSRRefD22_14x_0" localSheetId="78">'415'!$D$82:$D$83</definedName>
    <definedName name="OSRRefD22_14x_0" localSheetId="79">'418'!$D$82</definedName>
    <definedName name="OSRRefD22_14x_0" localSheetId="86">'433'!$D$85</definedName>
    <definedName name="OSRRefD22_14x_0" localSheetId="87">'444'!$D$83</definedName>
    <definedName name="OSRRefD22_14x_0" localSheetId="88">'450'!$D$84</definedName>
    <definedName name="OSRRefD22_14x_0" localSheetId="71">'491'!$D$79</definedName>
    <definedName name="OSRRefD22_14x_0" localSheetId="84">'492'!$D$78:$D$85</definedName>
    <definedName name="OSRRefD22_14x_0" localSheetId="39">'Div 2'!$D$74:$D$75</definedName>
    <definedName name="OSRRefD22_14x_0" localSheetId="47">'Div 3'!$D$107</definedName>
    <definedName name="OSRRefD22_14x_0" localSheetId="69">'Div 4'!$D$76:$D$78</definedName>
    <definedName name="OSRRefD22_14x_0" localSheetId="2">Summary!$D$115</definedName>
    <definedName name="OSRRefD22_15x_0" localSheetId="48">'300'!$D$105</definedName>
    <definedName name="OSRRefD22_15x_0" localSheetId="49">'300 &amp; 317'!$D$111</definedName>
    <definedName name="OSRRefD22_15x_0" localSheetId="51">'301'!$D$72:$D$73</definedName>
    <definedName name="OSRRefD22_15x_0" localSheetId="63">'310'!$D$84</definedName>
    <definedName name="OSRRefD22_15x_0" localSheetId="70">'310 &amp; 491'!$D$83</definedName>
    <definedName name="OSRRefD22_15x_0" localSheetId="58">'315'!$D$97</definedName>
    <definedName name="OSRRefD22_15x_0" localSheetId="59">'326'!$D$78</definedName>
    <definedName name="OSRRefD22_15x_0" localSheetId="57">'331'!$D$95:$D$96</definedName>
    <definedName name="OSRRefD22_15x_0" localSheetId="72">'405'!$D$86</definedName>
    <definedName name="OSRRefD22_15x_0" localSheetId="78">'415'!$D$85</definedName>
    <definedName name="OSRRefD22_15x_0" localSheetId="87">'444'!$D$85</definedName>
    <definedName name="OSRRefD22_15x_0" localSheetId="88">'450'!$D$86</definedName>
    <definedName name="OSRRefD22_15x_0" localSheetId="71">'491'!$D$81:$D$89</definedName>
    <definedName name="OSRRefD22_15x_0" localSheetId="84">'492'!$D$87:$D$88</definedName>
    <definedName name="OSRRefD22_15x_0" localSheetId="39">'Div 2'!$D$77</definedName>
    <definedName name="OSRRefD22_15x_0" localSheetId="47">'Div 3'!$D$109</definedName>
    <definedName name="OSRRefD22_15x_0" localSheetId="69">'Div 4'!$D$80:$D$84</definedName>
    <definedName name="OSRRefD22_15x_0" localSheetId="2">Summary!$D$117</definedName>
    <definedName name="OSRRefD22_16x_0" localSheetId="48">'300'!$D$107:$D$110</definedName>
    <definedName name="OSRRefD22_16x_0" localSheetId="49">'300 &amp; 317'!$D$113:$D$116</definedName>
    <definedName name="OSRRefD22_16x_0" localSheetId="51">'301'!$D$75</definedName>
    <definedName name="OSRRefD22_16x_0" localSheetId="63">'310'!$D$86</definedName>
    <definedName name="OSRRefD22_16x_0" localSheetId="70">'310 &amp; 491'!$D$85:$D$94</definedName>
    <definedName name="OSRRefD22_16x_0" localSheetId="58">'315'!$D$99</definedName>
    <definedName name="OSRRefD22_16x_0" localSheetId="59">'326'!$D$80:$D$81</definedName>
    <definedName name="OSRRefD22_16x_0" localSheetId="57">'331'!$D$98:$D$99</definedName>
    <definedName name="OSRRefD22_16x_0" localSheetId="78">'415'!$D$87</definedName>
    <definedName name="OSRRefD22_16x_0" localSheetId="88">'450'!$D$88</definedName>
    <definedName name="OSRRefD22_16x_0" localSheetId="71">'491'!$D$91:$D$92</definedName>
    <definedName name="OSRRefD22_16x_0" localSheetId="84">'492'!$D$90</definedName>
    <definedName name="OSRRefD22_16x_0" localSheetId="39">'Div 2'!$D$79:$D$84</definedName>
    <definedName name="OSRRefD22_16x_0" localSheetId="47">'Div 3'!$D$111</definedName>
    <definedName name="OSRRefD22_16x_0" localSheetId="69">'Div 4'!$D$86</definedName>
    <definedName name="OSRRefD22_16x_0" localSheetId="2">Summary!$D$119</definedName>
    <definedName name="OSRRefD22_17x_0" localSheetId="48">'300'!$D$112:$D$115</definedName>
    <definedName name="OSRRefD22_17x_0" localSheetId="49">'300 &amp; 317'!$D$118:$D$121</definedName>
    <definedName name="OSRRefD22_17x_0" localSheetId="51">'301'!$D$77:$D$82</definedName>
    <definedName name="OSRRefD22_17x_0" localSheetId="70">'310 &amp; 491'!$D$96:$D$97</definedName>
    <definedName name="OSRRefD22_17x_0" localSheetId="59">'326'!$D$83</definedName>
    <definedName name="OSRRefD22_17x_0" localSheetId="57">'331'!$D$101:$D$104</definedName>
    <definedName name="OSRRefD22_17x_0" localSheetId="71">'491'!$D$94</definedName>
    <definedName name="OSRRefD22_17x_0" localSheetId="84">'492'!$D$92:$D$93</definedName>
    <definedName name="OSRRefD22_17x_0" localSheetId="39">'Div 2'!$D$86:$D$87</definedName>
    <definedName name="OSRRefD22_17x_0" localSheetId="47">'Div 3'!$D$113:$D$116</definedName>
    <definedName name="OSRRefD22_17x_0" localSheetId="69">'Div 4'!$D$88:$D$97</definedName>
    <definedName name="OSRRefD22_17x_0" localSheetId="2">Summary!$D$121</definedName>
    <definedName name="OSRRefD22_18x_0" localSheetId="48">'300'!$D$117:$D$119</definedName>
    <definedName name="OSRRefD22_18x_0" localSheetId="49">'300 &amp; 317'!$D$123:$D$125</definedName>
    <definedName name="OSRRefD22_18x_0" localSheetId="51">'301'!$D$84</definedName>
    <definedName name="OSRRefD22_18x_0" localSheetId="70">'310 &amp; 491'!$D$99</definedName>
    <definedName name="OSRRefD22_18x_0" localSheetId="57">'331'!$D$106</definedName>
    <definedName name="OSRRefD22_18x_0" localSheetId="71">'491'!$D$96</definedName>
    <definedName name="OSRRefD22_18x_0" localSheetId="39">'Div 2'!$D$89</definedName>
    <definedName name="OSRRefD22_18x_0" localSheetId="47">'Div 3'!$D$118:$D$121</definedName>
    <definedName name="OSRRefD22_18x_0" localSheetId="69">'Div 4'!$D$99:$D$100</definedName>
    <definedName name="OSRRefD22_18x_0" localSheetId="2">Summary!$D$123:$D$126</definedName>
    <definedName name="OSRRefD22_19x_0" localSheetId="48">'300'!$D$121:$D$122</definedName>
    <definedName name="OSRRefD22_19x_0" localSheetId="49">'300 &amp; 317'!$D$127:$D$128</definedName>
    <definedName name="OSRRefD22_19x_0" localSheetId="51">'301'!$D$86</definedName>
    <definedName name="OSRRefD22_19x_0" localSheetId="70">'310 &amp; 491'!$D$101</definedName>
    <definedName name="OSRRefD22_19x_0" localSheetId="57">'331'!$D$108:$D$109</definedName>
    <definedName name="OSRRefD22_19x_0" localSheetId="39">'Div 2'!$D$91</definedName>
    <definedName name="OSRRefD22_19x_0" localSheetId="47">'Div 3'!$D$123:$D$126</definedName>
    <definedName name="OSRRefD22_19x_0" localSheetId="69">'Div 4'!$D$102</definedName>
    <definedName name="OSRRefD22_19x_0" localSheetId="2">Summary!$D$128:$D$131</definedName>
    <definedName name="OSRRefD22_1x_0" localSheetId="40">'200'!$D$22</definedName>
    <definedName name="OSRRefD22_1x_0" localSheetId="41">'201'!$D$30:$D$39</definedName>
    <definedName name="OSRRefD22_1x_0" localSheetId="42">'202'!$D$30:$D$39</definedName>
    <definedName name="OSRRefD22_1x_0" localSheetId="43">'203'!$D$31:$D$40</definedName>
    <definedName name="OSRRefD22_1x_0" localSheetId="44">'204'!$D$30:$D$39</definedName>
    <definedName name="OSRRefD22_1x_0" localSheetId="45">'205'!$D$30:$D$39</definedName>
    <definedName name="OSRRefD22_1x_0" localSheetId="46">'206'!$D$30:$D$39</definedName>
    <definedName name="OSRRefD22_1x_0" localSheetId="48">'300'!$D$64:$D$73</definedName>
    <definedName name="OSRRefD22_1x_0" localSheetId="49">'300 &amp; 317'!$D$70:$D$79</definedName>
    <definedName name="OSRRefD22_1x_0" localSheetId="51">'301'!$D$31:$D$40</definedName>
    <definedName name="OSRRefD22_1x_0" localSheetId="53">'307'!$D$42:$D$51</definedName>
    <definedName name="OSRRefD22_1x_0" localSheetId="54">'308'!$D$45:$D$54</definedName>
    <definedName name="OSRRefD22_1x_0" localSheetId="64">'309'!$D$22</definedName>
    <definedName name="OSRRefD22_1x_0" localSheetId="63">'310'!$D$37:$D$46</definedName>
    <definedName name="OSRRefD22_1x_0" localSheetId="70">'310 &amp; 491'!$D$39:$D$48</definedName>
    <definedName name="OSRRefD22_1x_0" localSheetId="55">'311'!$D$45:$D$54</definedName>
    <definedName name="OSRRefD22_1x_0" localSheetId="58">'315'!$D$53:$D$62</definedName>
    <definedName name="OSRRefD22_1x_0" localSheetId="60">'316'!$D$36:$D$45</definedName>
    <definedName name="OSRRefD22_1x_0" localSheetId="62">'317'!$D$45:$D$54</definedName>
    <definedName name="OSRRefD22_1x_0" localSheetId="65">'321'!$D$33:$D$42</definedName>
    <definedName name="OSRRefD22_1x_0" localSheetId="67">'325'!$D$34:$D$43</definedName>
    <definedName name="OSRRefD22_1x_0" localSheetId="59">'326'!$D$36:$D$45</definedName>
    <definedName name="OSRRefD22_1x_0" localSheetId="52">'330'!$D$42:$D$51</definedName>
    <definedName name="OSRRefD22_1x_0" localSheetId="57">'331'!$D$53:$D$62</definedName>
    <definedName name="OSRRefD22_1x_0" localSheetId="50">'332'!$D$36:$D$45</definedName>
    <definedName name="OSRRefD22_1x_0" localSheetId="72">'405'!$D$37:$D$46</definedName>
    <definedName name="OSRRefD22_1x_0" localSheetId="73">'406'!$D$22</definedName>
    <definedName name="OSRRefD22_1x_0" localSheetId="74">'411'!$D$30:$D$39</definedName>
    <definedName name="OSRRefD22_1x_0" localSheetId="75">'412'!$D$22</definedName>
    <definedName name="OSRRefD22_1x_0" localSheetId="76">'413'!$D$22</definedName>
    <definedName name="OSRRefD22_1x_0" localSheetId="77">'414'!$D$22</definedName>
    <definedName name="OSRRefD22_1x_0" localSheetId="78">'415'!$D$37:$D$46</definedName>
    <definedName name="OSRRefD22_1x_0" localSheetId="79">'418'!$D$34:$D$43</definedName>
    <definedName name="OSRRefD22_1x_0" localSheetId="80">'423'!$D$29:$D$38</definedName>
    <definedName name="OSRRefD22_1x_0" localSheetId="81">'424'!$D$22</definedName>
    <definedName name="OSRRefD22_1x_0" localSheetId="82">'425'!$D$23</definedName>
    <definedName name="OSRRefD22_1x_0" localSheetId="85">'430'!$D$30:$D$39</definedName>
    <definedName name="OSRRefD22_1x_0" localSheetId="86">'433'!$D$38:$D$47</definedName>
    <definedName name="OSRRefD22_1x_0" localSheetId="87">'444'!$D$38:$D$47</definedName>
    <definedName name="OSRRefD22_1x_0" localSheetId="88">'450'!$D$38:$D$47</definedName>
    <definedName name="OSRRefD22_1x_0" localSheetId="71">'491'!$D$37:$D$46</definedName>
    <definedName name="OSRRefD22_1x_0" localSheetId="84">'492'!$D$38:$D$47</definedName>
    <definedName name="OSRRefD22_1x_0" localSheetId="90">'501'!$D$31:$D$40</definedName>
    <definedName name="OSRRefD22_1x_0" localSheetId="39">'Div 2'!$D$32:$D$41</definedName>
    <definedName name="OSRRefD22_1x_0" localSheetId="47">'Div 3'!$D$68:$D$77</definedName>
    <definedName name="OSRRefD22_1x_0" localSheetId="69">'Div 4'!$D$40:$D$49</definedName>
    <definedName name="OSRRefD22_1x_0" localSheetId="89">'Div 5'!$D$31:$D$40</definedName>
    <definedName name="OSRRefD22_1x_0" localSheetId="61">'Div 6'!$D$45:$D$54</definedName>
    <definedName name="OSRRefD22_1x_0" localSheetId="2">Summary!$D$76:$D$85</definedName>
    <definedName name="OSRRefD22_20x_0" localSheetId="48">'300'!$D$124:$D$130</definedName>
    <definedName name="OSRRefD22_20x_0" localSheetId="49">'300 &amp; 317'!$D$130:$D$136</definedName>
    <definedName name="OSRRefD22_20x_0" localSheetId="51">'301'!$D$88</definedName>
    <definedName name="OSRRefD22_20x_0" localSheetId="57">'331'!$D$111</definedName>
    <definedName name="OSRRefD22_20x_0" localSheetId="47">'Div 3'!$D$128:$D$129</definedName>
    <definedName name="OSRRefD22_20x_0" localSheetId="69">'Div 4'!$D$104:$D$105</definedName>
    <definedName name="OSRRefD22_20x_0" localSheetId="2">Summary!$D$133:$D$137</definedName>
    <definedName name="OSRRefD22_21x_0" localSheetId="48">'300'!$D$132:$D$133</definedName>
    <definedName name="OSRRefD22_21x_0" localSheetId="49">'300 &amp; 317'!$D$138:$D$139</definedName>
    <definedName name="OSRRefD22_21x_0" localSheetId="51">'301'!$D$90</definedName>
    <definedName name="OSRRefD22_21x_0" localSheetId="47">'Div 3'!$D$131:$D$137</definedName>
    <definedName name="OSRRefD22_21x_0" localSheetId="69">'Div 4'!$D$107</definedName>
    <definedName name="OSRRefD22_21x_0" localSheetId="2">Summary!$D$139:$D$140</definedName>
    <definedName name="OSRRefD22_22x_0" localSheetId="48">'300'!$D$135</definedName>
    <definedName name="OSRRefD22_22x_0" localSheetId="49">'300 &amp; 317'!$D$141</definedName>
    <definedName name="OSRRefD22_22x_0" localSheetId="47">'Div 3'!$D$139:$D$140</definedName>
    <definedName name="OSRRefD22_22x_0" localSheetId="2">Summary!$D$142:$D$151</definedName>
    <definedName name="OSRRefD22_23x_0" localSheetId="48">'300'!$D$137:$D$139</definedName>
    <definedName name="OSRRefD22_23x_0" localSheetId="49">'300 &amp; 317'!$D$143:$D$145</definedName>
    <definedName name="OSRRefD22_23x_0" localSheetId="47">'Div 3'!$D$142</definedName>
    <definedName name="OSRRefD22_23x_0" localSheetId="2">Summary!$D$153:$D$154</definedName>
    <definedName name="OSRRefD22_24x_0" localSheetId="48">'300'!$D$141</definedName>
    <definedName name="OSRRefD22_24x_0" localSheetId="49">'300 &amp; 317'!$D$147</definedName>
    <definedName name="OSRRefD22_24x_0" localSheetId="47">'Div 3'!$D$144:$D$146</definedName>
    <definedName name="OSRRefD22_24x_0" localSheetId="2">Summary!$D$156</definedName>
    <definedName name="OSRRefD22_25x_0" localSheetId="47">'Div 3'!$D$148</definedName>
    <definedName name="OSRRefD22_25x_0" localSheetId="2">Summary!$D$158:$D$160</definedName>
    <definedName name="OSRRefD22_26x_0" localSheetId="2">Summary!$D$162</definedName>
    <definedName name="OSRRefD22_2x_0" localSheetId="40">'200'!$D$24</definedName>
    <definedName name="OSRRefD22_2x_0" localSheetId="41">'201'!$D$41</definedName>
    <definedName name="OSRRefD22_2x_0" localSheetId="42">'202'!$D$41</definedName>
    <definedName name="OSRRefD22_2x_0" localSheetId="43">'203'!$D$42</definedName>
    <definedName name="OSRRefD22_2x_0" localSheetId="44">'204'!$D$41</definedName>
    <definedName name="OSRRefD22_2x_0" localSheetId="45">'205'!$D$41</definedName>
    <definedName name="OSRRefD22_2x_0" localSheetId="46">'206'!$D$41</definedName>
    <definedName name="OSRRefD22_2x_0" localSheetId="48">'300'!$D$75</definedName>
    <definedName name="OSRRefD22_2x_0" localSheetId="49">'300 &amp; 317'!$D$81</definedName>
    <definedName name="OSRRefD22_2x_0" localSheetId="51">'301'!$D$42</definedName>
    <definedName name="OSRRefD22_2x_0" localSheetId="53">'307'!$D$53</definedName>
    <definedName name="OSRRefD22_2x_0" localSheetId="54">'308'!$D$56</definedName>
    <definedName name="OSRRefD22_2x_0" localSheetId="64">'309'!$D$24:$D$25</definedName>
    <definedName name="OSRRefD22_2x_0" localSheetId="63">'310'!$D$48</definedName>
    <definedName name="OSRRefD22_2x_0" localSheetId="70">'310 &amp; 491'!$D$50</definedName>
    <definedName name="OSRRefD22_2x_0" localSheetId="55">'311'!$D$56</definedName>
    <definedName name="OSRRefD22_2x_0" localSheetId="58">'315'!$D$64</definedName>
    <definedName name="OSRRefD22_2x_0" localSheetId="60">'316'!$D$47</definedName>
    <definedName name="OSRRefD22_2x_0" localSheetId="62">'317'!$D$56</definedName>
    <definedName name="OSRRefD22_2x_0" localSheetId="65">'321'!$D$44</definedName>
    <definedName name="OSRRefD22_2x_0" localSheetId="67">'325'!$D$45</definedName>
    <definedName name="OSRRefD22_2x_0" localSheetId="59">'326'!$D$47</definedName>
    <definedName name="OSRRefD22_2x_0" localSheetId="52">'330'!$D$53</definedName>
    <definedName name="OSRRefD22_2x_0" localSheetId="57">'331'!$D$64</definedName>
    <definedName name="OSRRefD22_2x_0" localSheetId="50">'332'!$D$47</definedName>
    <definedName name="OSRRefD22_2x_0" localSheetId="72">'405'!$D$48</definedName>
    <definedName name="OSRRefD22_2x_0" localSheetId="74">'411'!$D$41</definedName>
    <definedName name="OSRRefD22_2x_0" localSheetId="75">'412'!$D$24</definedName>
    <definedName name="OSRRefD22_2x_0" localSheetId="76">'413'!$D$24</definedName>
    <definedName name="OSRRefD22_2x_0" localSheetId="78">'415'!$D$48</definedName>
    <definedName name="OSRRefD22_2x_0" localSheetId="79">'418'!$D$45</definedName>
    <definedName name="OSRRefD22_2x_0" localSheetId="80">'423'!$D$40</definedName>
    <definedName name="OSRRefD22_2x_0" localSheetId="85">'430'!$D$41</definedName>
    <definedName name="OSRRefD22_2x_0" localSheetId="86">'433'!$D$49</definedName>
    <definedName name="OSRRefD22_2x_0" localSheetId="87">'444'!$D$49</definedName>
    <definedName name="OSRRefD22_2x_0" localSheetId="88">'450'!$D$49</definedName>
    <definedName name="OSRRefD22_2x_0" localSheetId="71">'491'!$D$48</definedName>
    <definedName name="OSRRefD22_2x_0" localSheetId="84">'492'!$D$49</definedName>
    <definedName name="OSRRefD22_2x_0" localSheetId="90">'501'!$D$42</definedName>
    <definedName name="OSRRefD22_2x_0" localSheetId="39">'Div 2'!$D$43</definedName>
    <definedName name="OSRRefD22_2x_0" localSheetId="47">'Div 3'!$D$79</definedName>
    <definedName name="OSRRefD22_2x_0" localSheetId="69">'Div 4'!$D$51</definedName>
    <definedName name="OSRRefD22_2x_0" localSheetId="89">'Div 5'!$D$42</definedName>
    <definedName name="OSRRefD22_2x_0" localSheetId="61">'Div 6'!$D$56</definedName>
    <definedName name="OSRRefD22_2x_0" localSheetId="2">Summary!$D$87</definedName>
    <definedName name="OSRRefD22_3x_0" localSheetId="40">'200'!$D$26:$D$27</definedName>
    <definedName name="OSRRefD22_3x_0" localSheetId="41">'201'!$D$43</definedName>
    <definedName name="OSRRefD22_3x_0" localSheetId="42">'202'!$D$43</definedName>
    <definedName name="OSRRefD22_3x_0" localSheetId="43">'203'!$D$44</definedName>
    <definedName name="OSRRefD22_3x_0" localSheetId="44">'204'!$D$43:$D$44</definedName>
    <definedName name="OSRRefD22_3x_0" localSheetId="45">'205'!$D$43</definedName>
    <definedName name="OSRRefD22_3x_0" localSheetId="46">'206'!$D$43</definedName>
    <definedName name="OSRRefD22_3x_0" localSheetId="48">'300'!$D$77</definedName>
    <definedName name="OSRRefD22_3x_0" localSheetId="49">'300 &amp; 317'!$D$83</definedName>
    <definedName name="OSRRefD22_3x_0" localSheetId="51">'301'!$D$44</definedName>
    <definedName name="OSRRefD22_3x_0" localSheetId="53">'307'!$D$55</definedName>
    <definedName name="OSRRefD22_3x_0" localSheetId="54">'308'!$D$58</definedName>
    <definedName name="OSRRefD22_3x_0" localSheetId="64">'309'!$D$27</definedName>
    <definedName name="OSRRefD22_3x_0" localSheetId="63">'310'!$D$50</definedName>
    <definedName name="OSRRefD22_3x_0" localSheetId="70">'310 &amp; 491'!$D$52</definedName>
    <definedName name="OSRRefD22_3x_0" localSheetId="55">'311'!$D$58</definedName>
    <definedName name="OSRRefD22_3x_0" localSheetId="58">'315'!$D$66</definedName>
    <definedName name="OSRRefD22_3x_0" localSheetId="60">'316'!$D$49</definedName>
    <definedName name="OSRRefD22_3x_0" localSheetId="62">'317'!$D$58</definedName>
    <definedName name="OSRRefD22_3x_0" localSheetId="65">'321'!$D$46</definedName>
    <definedName name="OSRRefD22_3x_0" localSheetId="67">'325'!$D$47</definedName>
    <definedName name="OSRRefD22_3x_0" localSheetId="59">'326'!$D$49</definedName>
    <definedName name="OSRRefD22_3x_0" localSheetId="52">'330'!$D$55</definedName>
    <definedName name="OSRRefD22_3x_0" localSheetId="57">'331'!$D$66</definedName>
    <definedName name="OSRRefD22_3x_0" localSheetId="50">'332'!$D$49</definedName>
    <definedName name="OSRRefD22_3x_0" localSheetId="72">'405'!$D$50</definedName>
    <definedName name="OSRRefD22_3x_0" localSheetId="74">'411'!$D$43:$D$44</definedName>
    <definedName name="OSRRefD22_3x_0" localSheetId="75">'412'!$D$26</definedName>
    <definedName name="OSRRefD22_3x_0" localSheetId="78">'415'!$D$50</definedName>
    <definedName name="OSRRefD22_3x_0" localSheetId="79">'418'!$D$47</definedName>
    <definedName name="OSRRefD22_3x_0" localSheetId="80">'423'!$D$42</definedName>
    <definedName name="OSRRefD22_3x_0" localSheetId="85">'430'!$D$43</definedName>
    <definedName name="OSRRefD22_3x_0" localSheetId="86">'433'!$D$51</definedName>
    <definedName name="OSRRefD22_3x_0" localSheetId="87">'444'!$D$51</definedName>
    <definedName name="OSRRefD22_3x_0" localSheetId="88">'450'!$D$51</definedName>
    <definedName name="OSRRefD22_3x_0" localSheetId="71">'491'!$D$50</definedName>
    <definedName name="OSRRefD22_3x_0" localSheetId="84">'492'!$D$51</definedName>
    <definedName name="OSRRefD22_3x_0" localSheetId="90">'501'!$D$44</definedName>
    <definedName name="OSRRefD22_3x_0" localSheetId="39">'Div 2'!$D$45</definedName>
    <definedName name="OSRRefD22_3x_0" localSheetId="47">'Div 3'!$D$81</definedName>
    <definedName name="OSRRefD22_3x_0" localSheetId="69">'Div 4'!$D$53</definedName>
    <definedName name="OSRRefD22_3x_0" localSheetId="89">'Div 5'!$D$44</definedName>
    <definedName name="OSRRefD22_3x_0" localSheetId="61">'Div 6'!$D$58</definedName>
    <definedName name="OSRRefD22_3x_0" localSheetId="2">Summary!$D$89</definedName>
    <definedName name="OSRRefD22_4x_0" localSheetId="41">'201'!$D$45</definedName>
    <definedName name="OSRRefD22_4x_0" localSheetId="42">'202'!$D$45</definedName>
    <definedName name="OSRRefD22_4x_0" localSheetId="43">'203'!$D$46</definedName>
    <definedName name="OSRRefD22_4x_0" localSheetId="44">'204'!$D$46</definedName>
    <definedName name="OSRRefD22_4x_0" localSheetId="45">'205'!$D$45:$D$46</definedName>
    <definedName name="OSRRefD22_4x_0" localSheetId="46">'206'!$D$45:$D$46</definedName>
    <definedName name="OSRRefD22_4x_0" localSheetId="48">'300'!$D$79</definedName>
    <definedName name="OSRRefD22_4x_0" localSheetId="49">'300 &amp; 317'!$D$85</definedName>
    <definedName name="OSRRefD22_4x_0" localSheetId="51">'301'!$D$46</definedName>
    <definedName name="OSRRefD22_4x_0" localSheetId="53">'307'!$D$57</definedName>
    <definedName name="OSRRefD22_4x_0" localSheetId="54">'308'!$D$60</definedName>
    <definedName name="OSRRefD22_4x_0" localSheetId="63">'310'!$D$52</definedName>
    <definedName name="OSRRefD22_4x_0" localSheetId="70">'310 &amp; 491'!$D$54</definedName>
    <definedName name="OSRRefD22_4x_0" localSheetId="55">'311'!$D$60</definedName>
    <definedName name="OSRRefD22_4x_0" localSheetId="58">'315'!$D$68</definedName>
    <definedName name="OSRRefD22_4x_0" localSheetId="60">'316'!$D$51</definedName>
    <definedName name="OSRRefD22_4x_0" localSheetId="62">'317'!$D$60</definedName>
    <definedName name="OSRRefD22_4x_0" localSheetId="65">'321'!$D$48</definedName>
    <definedName name="OSRRefD22_4x_0" localSheetId="67">'325'!$D$49</definedName>
    <definedName name="OSRRefD22_4x_0" localSheetId="59">'326'!$D$51</definedName>
    <definedName name="OSRRefD22_4x_0" localSheetId="52">'330'!$D$57</definedName>
    <definedName name="OSRRefD22_4x_0" localSheetId="57">'331'!$D$68</definedName>
    <definedName name="OSRRefD22_4x_0" localSheetId="50">'332'!$D$51</definedName>
    <definedName name="OSRRefD22_4x_0" localSheetId="72">'405'!$D$52</definedName>
    <definedName name="OSRRefD22_4x_0" localSheetId="74">'411'!$D$46</definedName>
    <definedName name="OSRRefD22_4x_0" localSheetId="78">'415'!$D$52</definedName>
    <definedName name="OSRRefD22_4x_0" localSheetId="79">'418'!$D$49:$D$50</definedName>
    <definedName name="OSRRefD22_4x_0" localSheetId="80">'423'!$D$44</definedName>
    <definedName name="OSRRefD22_4x_0" localSheetId="85">'430'!$D$45:$D$46</definedName>
    <definedName name="OSRRefD22_4x_0" localSheetId="86">'433'!$D$53</definedName>
    <definedName name="OSRRefD22_4x_0" localSheetId="87">'444'!$D$53</definedName>
    <definedName name="OSRRefD22_4x_0" localSheetId="88">'450'!$D$53</definedName>
    <definedName name="OSRRefD22_4x_0" localSheetId="71">'491'!$D$52</definedName>
    <definedName name="OSRRefD22_4x_0" localSheetId="84">'492'!$D$53</definedName>
    <definedName name="OSRRefD22_4x_0" localSheetId="90">'501'!$D$46</definedName>
    <definedName name="OSRRefD22_4x_0" localSheetId="39">'Div 2'!$D$47</definedName>
    <definedName name="OSRRefD22_4x_0" localSheetId="47">'Div 3'!$D$83</definedName>
    <definedName name="OSRRefD22_4x_0" localSheetId="69">'Div 4'!$D$55</definedName>
    <definedName name="OSRRefD22_4x_0" localSheetId="89">'Div 5'!$D$46</definedName>
    <definedName name="OSRRefD22_4x_0" localSheetId="61">'Div 6'!$D$60</definedName>
    <definedName name="OSRRefD22_4x_0" localSheetId="2">Summary!$D$91</definedName>
    <definedName name="OSRRefD22_5x_0" localSheetId="41">'201'!$D$47</definedName>
    <definedName name="OSRRefD22_5x_0" localSheetId="42">'202'!$D$47</definedName>
    <definedName name="OSRRefD22_5x_0" localSheetId="43">'203'!$D$48</definedName>
    <definedName name="OSRRefD22_5x_0" localSheetId="44">'204'!$D$48:$D$51</definedName>
    <definedName name="OSRRefD22_5x_0" localSheetId="45">'205'!$D$48</definedName>
    <definedName name="OSRRefD22_5x_0" localSheetId="46">'206'!$D$48</definedName>
    <definedName name="OSRRefD22_5x_0" localSheetId="48">'300'!$D$81:$D$82</definedName>
    <definedName name="OSRRefD22_5x_0" localSheetId="49">'300 &amp; 317'!$D$87:$D$88</definedName>
    <definedName name="OSRRefD22_5x_0" localSheetId="51">'301'!$D$48:$D$49</definedName>
    <definedName name="OSRRefD22_5x_0" localSheetId="53">'307'!$D$59:$D$60</definedName>
    <definedName name="OSRRefD22_5x_0" localSheetId="54">'308'!$D$62</definedName>
    <definedName name="OSRRefD22_5x_0" localSheetId="63">'310'!$D$54:$D$55</definedName>
    <definedName name="OSRRefD22_5x_0" localSheetId="70">'310 &amp; 491'!$D$56:$D$57</definedName>
    <definedName name="OSRRefD22_5x_0" localSheetId="55">'311'!$D$62</definedName>
    <definedName name="OSRRefD22_5x_0" localSheetId="58">'315'!$D$70</definedName>
    <definedName name="OSRRefD22_5x_0" localSheetId="60">'316'!$D$53:$D$54</definedName>
    <definedName name="OSRRefD22_5x_0" localSheetId="62">'317'!$D$62</definedName>
    <definedName name="OSRRefD22_5x_0" localSheetId="65">'321'!$D$50</definedName>
    <definedName name="OSRRefD22_5x_0" localSheetId="67">'325'!$D$51:$D$52</definedName>
    <definedName name="OSRRefD22_5x_0" localSheetId="59">'326'!$D$53</definedName>
    <definedName name="OSRRefD22_5x_0" localSheetId="52">'330'!$D$59:$D$60</definedName>
    <definedName name="OSRRefD22_5x_0" localSheetId="57">'331'!$D$70</definedName>
    <definedName name="OSRRefD22_5x_0" localSheetId="50">'332'!$D$53:$D$54</definedName>
    <definedName name="OSRRefD22_5x_0" localSheetId="72">'405'!$D$54:$D$55</definedName>
    <definedName name="OSRRefD22_5x_0" localSheetId="74">'411'!$D$48</definedName>
    <definedName name="OSRRefD22_5x_0" localSheetId="78">'415'!$D$54:$D$55</definedName>
    <definedName name="OSRRefD22_5x_0" localSheetId="79">'418'!$D$52</definedName>
    <definedName name="OSRRefD22_5x_0" localSheetId="80">'423'!$D$46</definedName>
    <definedName name="OSRRefD22_5x_0" localSheetId="85">'430'!$D$48:$D$49</definedName>
    <definedName name="OSRRefD22_5x_0" localSheetId="86">'433'!$D$55</definedName>
    <definedName name="OSRRefD22_5x_0" localSheetId="87">'444'!$D$55</definedName>
    <definedName name="OSRRefD22_5x_0" localSheetId="88">'450'!$D$55</definedName>
    <definedName name="OSRRefD22_5x_0" localSheetId="71">'491'!$D$54:$D$55</definedName>
    <definedName name="OSRRefD22_5x_0" localSheetId="84">'492'!$D$55</definedName>
    <definedName name="OSRRefD22_5x_0" localSheetId="90">'501'!$D$48:$D$49</definedName>
    <definedName name="OSRRefD22_5x_0" localSheetId="39">'Div 2'!$D$49:$D$50</definedName>
    <definedName name="OSRRefD22_5x_0" localSheetId="47">'Div 3'!$D$85:$D$86</definedName>
    <definedName name="OSRRefD22_5x_0" localSheetId="69">'Div 4'!$D$57:$D$58</definedName>
    <definedName name="OSRRefD22_5x_0" localSheetId="89">'Div 5'!$D$48:$D$49</definedName>
    <definedName name="OSRRefD22_5x_0" localSheetId="61">'Div 6'!$D$62</definedName>
    <definedName name="OSRRefD22_5x_0" localSheetId="2">Summary!$D$93:$D$94</definedName>
    <definedName name="OSRRefD22_6x_0" localSheetId="41">'201'!$D$49</definedName>
    <definedName name="OSRRefD22_6x_0" localSheetId="42">'202'!$D$49:$D$51</definedName>
    <definedName name="OSRRefD22_6x_0" localSheetId="43">'203'!$D$50</definedName>
    <definedName name="OSRRefD22_6x_0" localSheetId="44">'204'!$D$53</definedName>
    <definedName name="OSRRefD22_6x_0" localSheetId="45">'205'!$D$50:$D$52</definedName>
    <definedName name="OSRRefD22_6x_0" localSheetId="46">'206'!$D$50:$D$51</definedName>
    <definedName name="OSRRefD22_6x_0" localSheetId="48">'300'!$D$84:$D$85</definedName>
    <definedName name="OSRRefD22_6x_0" localSheetId="49">'300 &amp; 317'!$D$90:$D$91</definedName>
    <definedName name="OSRRefD22_6x_0" localSheetId="51">'301'!$D$51</definedName>
    <definedName name="OSRRefD22_6x_0" localSheetId="53">'307'!$D$62</definedName>
    <definedName name="OSRRefD22_6x_0" localSheetId="54">'308'!$D$64</definedName>
    <definedName name="OSRRefD22_6x_0" localSheetId="63">'310'!$D$57</definedName>
    <definedName name="OSRRefD22_6x_0" localSheetId="70">'310 &amp; 491'!$D$59</definedName>
    <definedName name="OSRRefD22_6x_0" localSheetId="55">'311'!$D$64</definedName>
    <definedName name="OSRRefD22_6x_0" localSheetId="58">'315'!$D$72</definedName>
    <definedName name="OSRRefD22_6x_0" localSheetId="60">'316'!$D$56</definedName>
    <definedName name="OSRRefD22_6x_0" localSheetId="62">'317'!$D$64</definedName>
    <definedName name="OSRRefD22_6x_0" localSheetId="65">'321'!$D$52:$D$53</definedName>
    <definedName name="OSRRefD22_6x_0" localSheetId="67">'325'!$D$54</definedName>
    <definedName name="OSRRefD22_6x_0" localSheetId="59">'326'!$D$55</definedName>
    <definedName name="OSRRefD22_6x_0" localSheetId="52">'330'!$D$62</definedName>
    <definedName name="OSRRefD22_6x_0" localSheetId="57">'331'!$D$72</definedName>
    <definedName name="OSRRefD22_6x_0" localSheetId="50">'332'!$D$56</definedName>
    <definedName name="OSRRefD22_6x_0" localSheetId="72">'405'!$D$57</definedName>
    <definedName name="OSRRefD22_6x_0" localSheetId="74">'411'!$D$50</definedName>
    <definedName name="OSRRefD22_6x_0" localSheetId="78">'415'!$D$57</definedName>
    <definedName name="OSRRefD22_6x_0" localSheetId="79">'418'!$D$54</definedName>
    <definedName name="OSRRefD22_6x_0" localSheetId="85">'430'!$D$51</definedName>
    <definedName name="OSRRefD22_6x_0" localSheetId="86">'433'!$D$57</definedName>
    <definedName name="OSRRefD22_6x_0" localSheetId="87">'444'!$D$57</definedName>
    <definedName name="OSRRefD22_6x_0" localSheetId="88">'450'!$D$57</definedName>
    <definedName name="OSRRefD22_6x_0" localSheetId="71">'491'!$D$57</definedName>
    <definedName name="OSRRefD22_6x_0" localSheetId="84">'492'!$D$57</definedName>
    <definedName name="OSRRefD22_6x_0" localSheetId="90">'501'!$D$51</definedName>
    <definedName name="OSRRefD22_6x_0" localSheetId="39">'Div 2'!$D$52</definedName>
    <definedName name="OSRRefD22_6x_0" localSheetId="47">'Div 3'!$D$88:$D$89</definedName>
    <definedName name="OSRRefD22_6x_0" localSheetId="69">'Div 4'!$D$60</definedName>
    <definedName name="OSRRefD22_6x_0" localSheetId="89">'Div 5'!$D$51</definedName>
    <definedName name="OSRRefD22_6x_0" localSheetId="61">'Div 6'!$D$64</definedName>
    <definedName name="OSRRefD22_6x_0" localSheetId="2">Summary!$D$96:$D$97</definedName>
    <definedName name="OSRRefD22_7x_0" localSheetId="41">'201'!$D$51</definedName>
    <definedName name="OSRRefD22_7x_0" localSheetId="42">'202'!$D$53</definedName>
    <definedName name="OSRRefD22_7x_0" localSheetId="43">'203'!$D$52</definedName>
    <definedName name="OSRRefD22_7x_0" localSheetId="44">'204'!$D$55:$D$56</definedName>
    <definedName name="OSRRefD22_7x_0" localSheetId="45">'205'!$D$54</definedName>
    <definedName name="OSRRefD22_7x_0" localSheetId="46">'206'!$D$53</definedName>
    <definedName name="OSRRefD22_7x_0" localSheetId="48">'300'!$D$87</definedName>
    <definedName name="OSRRefD22_7x_0" localSheetId="49">'300 &amp; 317'!$D$93</definedName>
    <definedName name="OSRRefD22_7x_0" localSheetId="51">'301'!$D$53</definedName>
    <definedName name="OSRRefD22_7x_0" localSheetId="53">'307'!$D$64</definedName>
    <definedName name="OSRRefD22_7x_0" localSheetId="54">'308'!$D$66</definedName>
    <definedName name="OSRRefD22_7x_0" localSheetId="63">'310'!$D$59</definedName>
    <definedName name="OSRRefD22_7x_0" localSheetId="70">'310 &amp; 491'!$D$61</definedName>
    <definedName name="OSRRefD22_7x_0" localSheetId="55">'311'!$D$66</definedName>
    <definedName name="OSRRefD22_7x_0" localSheetId="58">'315'!$D$74:$D$75</definedName>
    <definedName name="OSRRefD22_7x_0" localSheetId="60">'316'!$D$58:$D$59</definedName>
    <definedName name="OSRRefD22_7x_0" localSheetId="62">'317'!$D$66</definedName>
    <definedName name="OSRRefD22_7x_0" localSheetId="65">'321'!$D$55</definedName>
    <definedName name="OSRRefD22_7x_0" localSheetId="67">'325'!$D$56</definedName>
    <definedName name="OSRRefD22_7x_0" localSheetId="59">'326'!$D$57</definedName>
    <definedName name="OSRRefD22_7x_0" localSheetId="52">'330'!$D$64</definedName>
    <definedName name="OSRRefD22_7x_0" localSheetId="57">'331'!$D$74:$D$75</definedName>
    <definedName name="OSRRefD22_7x_0" localSheetId="50">'332'!$D$58:$D$59</definedName>
    <definedName name="OSRRefD22_7x_0" localSheetId="72">'405'!$D$59</definedName>
    <definedName name="OSRRefD22_7x_0" localSheetId="74">'411'!$D$52</definedName>
    <definedName name="OSRRefD22_7x_0" localSheetId="78">'415'!$D$59</definedName>
    <definedName name="OSRRefD22_7x_0" localSheetId="79">'418'!$D$56</definedName>
    <definedName name="OSRRefD22_7x_0" localSheetId="85">'430'!$D$53</definedName>
    <definedName name="OSRRefD22_7x_0" localSheetId="86">'433'!$D$59</definedName>
    <definedName name="OSRRefD22_7x_0" localSheetId="87">'444'!$D$59</definedName>
    <definedName name="OSRRefD22_7x_0" localSheetId="88">'450'!$D$59</definedName>
    <definedName name="OSRRefD22_7x_0" localSheetId="71">'491'!$D$59</definedName>
    <definedName name="OSRRefD22_7x_0" localSheetId="84">'492'!$D$59</definedName>
    <definedName name="OSRRefD22_7x_0" localSheetId="90">'501'!$D$53</definedName>
    <definedName name="OSRRefD22_7x_0" localSheetId="39">'Div 2'!$D$54</definedName>
    <definedName name="OSRRefD22_7x_0" localSheetId="47">'Div 3'!$D$91</definedName>
    <definedName name="OSRRefD22_7x_0" localSheetId="69">'Div 4'!$D$62</definedName>
    <definedName name="OSRRefD22_7x_0" localSheetId="89">'Div 5'!$D$53</definedName>
    <definedName name="OSRRefD22_7x_0" localSheetId="61">'Div 6'!$D$66</definedName>
    <definedName name="OSRRefD22_7x_0" localSheetId="2">Summary!$D$99</definedName>
    <definedName name="OSRRefD22_8x_0" localSheetId="41">'201'!$D$53:$D$54</definedName>
    <definedName name="OSRRefD22_8x_0" localSheetId="42">'202'!$D$55</definedName>
    <definedName name="OSRRefD22_8x_0" localSheetId="43">'203'!$D$54:$D$56</definedName>
    <definedName name="OSRRefD22_8x_0" localSheetId="48">'300'!$D$89</definedName>
    <definedName name="OSRRefD22_8x_0" localSheetId="49">'300 &amp; 317'!$D$95</definedName>
    <definedName name="OSRRefD22_8x_0" localSheetId="51">'301'!$D$55</definedName>
    <definedName name="OSRRefD22_8x_0" localSheetId="53">'307'!$D$66</definedName>
    <definedName name="OSRRefD22_8x_0" localSheetId="54">'308'!$D$68:$D$70</definedName>
    <definedName name="OSRRefD22_8x_0" localSheetId="63">'310'!$D$61</definedName>
    <definedName name="OSRRefD22_8x_0" localSheetId="70">'310 &amp; 491'!$D$63</definedName>
    <definedName name="OSRRefD22_8x_0" localSheetId="55">'311'!$D$68:$D$70</definedName>
    <definedName name="OSRRefD22_8x_0" localSheetId="58">'315'!$D$77</definedName>
    <definedName name="OSRRefD22_8x_0" localSheetId="60">'316'!$D$61</definedName>
    <definedName name="OSRRefD22_8x_0" localSheetId="62">'317'!$D$68:$D$69</definedName>
    <definedName name="OSRRefD22_8x_0" localSheetId="65">'321'!$D$57:$D$58</definedName>
    <definedName name="OSRRefD22_8x_0" localSheetId="67">'325'!$D$58</definedName>
    <definedName name="OSRRefD22_8x_0" localSheetId="59">'326'!$D$59</definedName>
    <definedName name="OSRRefD22_8x_0" localSheetId="52">'330'!$D$66</definedName>
    <definedName name="OSRRefD22_8x_0" localSheetId="57">'331'!$D$77:$D$78</definedName>
    <definedName name="OSRRefD22_8x_0" localSheetId="50">'332'!$D$61</definedName>
    <definedName name="OSRRefD22_8x_0" localSheetId="72">'405'!$D$61</definedName>
    <definedName name="OSRRefD22_8x_0" localSheetId="74">'411'!$D$54:$D$56</definedName>
    <definedName name="OSRRefD22_8x_0" localSheetId="78">'415'!$D$61</definedName>
    <definedName name="OSRRefD22_8x_0" localSheetId="79">'418'!$D$58:$D$59</definedName>
    <definedName name="OSRRefD22_8x_0" localSheetId="86">'433'!$D$61</definedName>
    <definedName name="OSRRefD22_8x_0" localSheetId="87">'444'!$D$61</definedName>
    <definedName name="OSRRefD22_8x_0" localSheetId="88">'450'!$D$61</definedName>
    <definedName name="OSRRefD22_8x_0" localSheetId="71">'491'!$D$61</definedName>
    <definedName name="OSRRefD22_8x_0" localSheetId="84">'492'!$D$61</definedName>
    <definedName name="OSRRefD22_8x_0" localSheetId="90">'501'!$D$55</definedName>
    <definedName name="OSRRefD22_8x_0" localSheetId="39">'Div 2'!$D$56</definedName>
    <definedName name="OSRRefD22_8x_0" localSheetId="47">'Div 3'!$D$93</definedName>
    <definedName name="OSRRefD22_8x_0" localSheetId="69">'Div 4'!$D$64</definedName>
    <definedName name="OSRRefD22_8x_0" localSheetId="89">'Div 5'!$D$55</definedName>
    <definedName name="OSRRefD22_8x_0" localSheetId="61">'Div 6'!$D$68:$D$69</definedName>
    <definedName name="OSRRefD22_8x_0" localSheetId="2">Summary!$D$101</definedName>
    <definedName name="OSRRefD22_9x_0" localSheetId="41">'201'!$D$56:$D$57</definedName>
    <definedName name="OSRRefD22_9x_0" localSheetId="42">'202'!$D$57</definedName>
    <definedName name="OSRRefD22_9x_0" localSheetId="43">'203'!$D$58:$D$59</definedName>
    <definedName name="OSRRefD22_9x_0" localSheetId="48">'300'!$D$91</definedName>
    <definedName name="OSRRefD22_9x_0" localSheetId="49">'300 &amp; 317'!$D$97</definedName>
    <definedName name="OSRRefD22_9x_0" localSheetId="51">'301'!$D$57</definedName>
    <definedName name="OSRRefD22_9x_0" localSheetId="53">'307'!$D$68:$D$69</definedName>
    <definedName name="OSRRefD22_9x_0" localSheetId="54">'308'!$D$72</definedName>
    <definedName name="OSRRefD22_9x_0" localSheetId="63">'310'!$D$63</definedName>
    <definedName name="OSRRefD22_9x_0" localSheetId="70">'310 &amp; 491'!$D$65</definedName>
    <definedName name="OSRRefD22_9x_0" localSheetId="55">'311'!$D$72</definedName>
    <definedName name="OSRRefD22_9x_0" localSheetId="58">'315'!$D$79</definedName>
    <definedName name="OSRRefD22_9x_0" localSheetId="60">'316'!$D$63:$D$66</definedName>
    <definedName name="OSRRefD22_9x_0" localSheetId="62">'317'!$D$71</definedName>
    <definedName name="OSRRefD22_9x_0" localSheetId="65">'321'!$D$60:$D$62</definedName>
    <definedName name="OSRRefD22_9x_0" localSheetId="67">'325'!$D$60</definedName>
    <definedName name="OSRRefD22_9x_0" localSheetId="59">'326'!$D$61</definedName>
    <definedName name="OSRRefD22_9x_0" localSheetId="52">'330'!$D$68:$D$69</definedName>
    <definedName name="OSRRefD22_9x_0" localSheetId="57">'331'!$D$80</definedName>
    <definedName name="OSRRefD22_9x_0" localSheetId="50">'332'!$D$63:$D$66</definedName>
    <definedName name="OSRRefD22_9x_0" localSheetId="72">'405'!$D$63:$D$64</definedName>
    <definedName name="OSRRefD22_9x_0" localSheetId="74">'411'!$D$58:$D$60</definedName>
    <definedName name="OSRRefD22_9x_0" localSheetId="78">'415'!$D$63</definedName>
    <definedName name="OSRRefD22_9x_0" localSheetId="79">'418'!$D$61:$D$64</definedName>
    <definedName name="OSRRefD22_9x_0" localSheetId="86">'433'!$D$63</definedName>
    <definedName name="OSRRefD22_9x_0" localSheetId="87">'444'!$D$63</definedName>
    <definedName name="OSRRefD22_9x_0" localSheetId="88">'450'!$D$63</definedName>
    <definedName name="OSRRefD22_9x_0" localSheetId="71">'491'!$D$63</definedName>
    <definedName name="OSRRefD22_9x_0" localSheetId="84">'492'!$D$63</definedName>
    <definedName name="OSRRefD22_9x_0" localSheetId="90">'501'!$D$57:$D$59</definedName>
    <definedName name="OSRRefD22_9x_0" localSheetId="39">'Div 2'!$D$58</definedName>
    <definedName name="OSRRefD22_9x_0" localSheetId="47">'Div 3'!$D$95</definedName>
    <definedName name="OSRRefD22_9x_0" localSheetId="69">'Div 4'!$D$66</definedName>
    <definedName name="OSRRefD22_9x_0" localSheetId="89">'Div 5'!$D$57:$D$59</definedName>
    <definedName name="OSRRefD22_9x_0" localSheetId="61">'Div 6'!$D$71</definedName>
    <definedName name="OSRRefD22_9x_0" localSheetId="2">Summary!$D$103</definedName>
    <definedName name="OSRRefD22x_0" localSheetId="40">'200'!$D$20,'200'!$D$22,'200'!$D$24,'200'!$D$26:$D$27</definedName>
    <definedName name="OSRRefD22x_0" localSheetId="41">'201'!$D$20:$D$28,'201'!$D$30:$D$39,'201'!$D$41,'201'!$D$43,'201'!$D$45,'201'!$D$47,'201'!$D$49,'201'!$D$51,'201'!$D$53:$D$54,'201'!$D$56:$D$57,'201'!$D$59,'201'!$D$61:$D$62,'201'!$D$64</definedName>
    <definedName name="OSRRefD22x_0" localSheetId="42">'202'!$D$20:$D$28,'202'!$D$30:$D$39,'202'!$D$41,'202'!$D$43,'202'!$D$45,'202'!$D$47,'202'!$D$49:$D$51,'202'!$D$53,'202'!$D$55,'202'!$D$57,'202'!$D$59,'202'!$D$61</definedName>
    <definedName name="OSRRefD22x_0" localSheetId="43">'203'!$D$20:$D$29,'203'!$D$31:$D$40,'203'!$D$42,'203'!$D$44,'203'!$D$46,'203'!$D$48,'203'!$D$50,'203'!$D$52,'203'!$D$54:$D$56,'203'!$D$58:$D$59,'203'!$D$61,'203'!$D$63:$D$66,'203'!$D$68,'203'!$D$70</definedName>
    <definedName name="OSRRefD22x_0" localSheetId="44">'204'!$D$20:$D$28,'204'!$D$30:$D$39,'204'!$D$41,'204'!$D$43:$D$44,'204'!$D$46,'204'!$D$48:$D$51,'204'!$D$53,'204'!$D$55:$D$56</definedName>
    <definedName name="OSRRefD22x_0" localSheetId="45">'205'!$D$20:$D$28,'205'!$D$30:$D$39,'205'!$D$41,'205'!$D$43,'205'!$D$45:$D$46,'205'!$D$48,'205'!$D$50:$D$52,'205'!$D$54</definedName>
    <definedName name="OSRRefD22x_0" localSheetId="46">'206'!$D$20:$D$28,'206'!$D$30:$D$39,'206'!$D$41,'206'!$D$43,'206'!$D$45:$D$46,'206'!$D$48,'206'!$D$50:$D$51,'206'!$D$53</definedName>
    <definedName name="OSRRefD22x_0" localSheetId="48">'300'!$D$53:$D$62,'300'!$D$64:$D$73,'300'!$D$75,'300'!$D$77,'300'!$D$79,'300'!$D$81:$D$82,'300'!$D$84:$D$85,'300'!$D$87,'300'!$D$89,'300'!$D$91,'300'!$D$93:$D$94,'300'!$D$96:$D$97,'300'!$D$99,'300'!$D$101,'300'!$D$103,'300'!$D$105,'300'!$D$107:$D$110,'300'!$D$112:$D$115,'300'!$D$117:$D$119,'300'!$D$121:$D$122,'300'!$D$124:$D$130,'300'!$D$132:$D$133,'300'!$D$135,'300'!$D$137:$D$139,'300'!$D$141</definedName>
    <definedName name="OSRRefD22x_0" localSheetId="49">'300 &amp; 317'!$D$59:$D$68,'300 &amp; 317'!$D$70:$D$79,'300 &amp; 317'!$D$81,'300 &amp; 317'!$D$83,'300 &amp; 317'!$D$85,'300 &amp; 317'!$D$87:$D$88,'300 &amp; 317'!$D$90:$D$91,'300 &amp; 317'!$D$93,'300 &amp; 317'!$D$95,'300 &amp; 317'!$D$97,'300 &amp; 317'!$D$99:$D$100,'300 &amp; 317'!$D$102:$D$103,'300 &amp; 317'!$D$105,'300 &amp; 317'!$D$107,'300 &amp; 317'!$D$109,'300 &amp; 317'!$D$111,'300 &amp; 317'!$D$113:$D$116,'300 &amp; 317'!$D$118:$D$121,'300 &amp; 317'!$D$123:$D$125,'300 &amp; 317'!$D$127:$D$128,'300 &amp; 317'!$D$130:$D$136,'300 &amp; 317'!$D$138:$D$139,'300 &amp; 317'!$D$141,'300 &amp; 317'!$D$143:$D$145,'300 &amp; 317'!$D$147</definedName>
    <definedName name="OSRRefD22x_0" localSheetId="51">'301'!$D$20:$D$29,'301'!$D$31:$D$40,'301'!$D$42,'301'!$D$44,'301'!$D$46,'301'!$D$48:$D$49,'301'!$D$51,'301'!$D$53,'301'!$D$55,'301'!$D$57,'301'!$D$59,'301'!$D$61,'301'!$D$63,'301'!$D$65,'301'!$D$67:$D$70,'301'!$D$72:$D$73,'301'!$D$75,'301'!$D$77:$D$82,'301'!$D$84,'301'!$D$86,'301'!$D$88,'301'!$D$90</definedName>
    <definedName name="OSRRefD22x_0" localSheetId="53">'307'!$D$33:$D$40,'307'!$D$42:$D$51,'307'!$D$53,'307'!$D$55,'307'!$D$57,'307'!$D$59:$D$60,'307'!$D$62,'307'!$D$64,'307'!$D$66,'307'!$D$68:$D$69,'307'!$D$71:$D$72,'307'!$D$74:$D$76,'307'!$D$78</definedName>
    <definedName name="OSRRefD22x_0" localSheetId="54">'308'!$D$34:$D$43,'308'!$D$45:$D$54,'308'!$D$56,'308'!$D$58,'308'!$D$60,'308'!$D$62,'308'!$D$64,'308'!$D$66,'308'!$D$68:$D$70,'308'!$D$72,'308'!$D$74:$D$75,'308'!$D$77:$D$78</definedName>
    <definedName name="OSRRefD22x_0" localSheetId="64">'309'!$D$20,'309'!$D$22,'309'!$D$24:$D$25,'309'!$D$27</definedName>
    <definedName name="OSRRefD22x_0" localSheetId="63">'310'!$D$27:$D$35,'310'!$D$37:$D$46,'310'!$D$48,'310'!$D$50,'310'!$D$52,'310'!$D$54:$D$55,'310'!$D$57,'310'!$D$59,'310'!$D$61,'310'!$D$63,'310'!$D$65:$D$67,'310'!$D$69,'310'!$D$71:$D$73,'310'!$D$75:$D$79,'310'!$D$81:$D$82,'310'!$D$84,'310'!$D$86</definedName>
    <definedName name="OSRRefD22x_0" localSheetId="70">'310 &amp; 491'!$D$29:$D$37,'310 &amp; 491'!$D$39:$D$48,'310 &amp; 491'!$D$50,'310 &amp; 491'!$D$52,'310 &amp; 491'!$D$54,'310 &amp; 491'!$D$56:$D$57,'310 &amp; 491'!$D$59,'310 &amp; 491'!$D$61,'310 &amp; 491'!$D$63,'310 &amp; 491'!$D$65,'310 &amp; 491'!$D$67,'310 &amp; 491'!$D$69,'310 &amp; 491'!$D$71:$D$73,'310 &amp; 491'!$D$75,'310 &amp; 491'!$D$77:$D$81,'310 &amp; 491'!$D$83,'310 &amp; 491'!$D$85:$D$94,'310 &amp; 491'!$D$96:$D$97,'310 &amp; 491'!$D$99,'310 &amp; 491'!$D$101</definedName>
    <definedName name="OSRRefD22x_0" localSheetId="55">'311'!$D$34:$D$43,'311'!$D$45:$D$54,'311'!$D$56,'311'!$D$58,'311'!$D$60,'311'!$D$62,'311'!$D$64,'311'!$D$66,'311'!$D$68:$D$70,'311'!$D$72,'311'!$D$74:$D$75,'311'!$D$77:$D$78</definedName>
    <definedName name="OSRRefD22x_0" localSheetId="58">'315'!$D$43:$D$51,'315'!$D$53:$D$62,'315'!$D$64,'315'!$D$66,'315'!$D$68,'315'!$D$70,'315'!$D$72,'315'!$D$74:$D$75,'315'!$D$77,'315'!$D$79,'315'!$D$81,'315'!$D$83:$D$84,'315'!$D$86:$D$88,'315'!$D$90:$D$91,'315'!$D$93:$D$95,'315'!$D$97,'315'!$D$99</definedName>
    <definedName name="OSRRefD22x_0" localSheetId="60">'316'!$D$26:$D$34,'316'!$D$36:$D$45,'316'!$D$47,'316'!$D$49,'316'!$D$51,'316'!$D$53:$D$54,'316'!$D$56,'316'!$D$58:$D$59,'316'!$D$61,'316'!$D$63:$D$66,'316'!$D$68</definedName>
    <definedName name="OSRRefD22x_0" localSheetId="62">'317'!$D$34:$D$43,'317'!$D$45:$D$54,'317'!$D$56,'317'!$D$58,'317'!$D$60,'317'!$D$62,'317'!$D$64,'317'!$D$66,'317'!$D$68:$D$69,'317'!$D$71</definedName>
    <definedName name="OSRRefD22x_0" localSheetId="65">'321'!$D$23:$D$31,'321'!$D$33:$D$42,'321'!$D$44,'321'!$D$46,'321'!$D$48,'321'!$D$50,'321'!$D$52:$D$53,'321'!$D$55,'321'!$D$57:$D$58,'321'!$D$60:$D$62,'321'!$D$64,'321'!$D$66</definedName>
    <definedName name="OSRRefD22x_0" localSheetId="66">'322'!$D$20</definedName>
    <definedName name="OSRRefD22x_0" localSheetId="67">'325'!$D$25:$D$32,'325'!$D$34:$D$43,'325'!$D$45,'325'!$D$47,'325'!$D$49,'325'!$D$51:$D$52,'325'!$D$54,'325'!$D$56,'325'!$D$58,'325'!$D$60,'325'!$D$62:$D$64,'325'!$D$66:$D$68,'325'!$D$70:$D$74,'325'!$D$76:$D$77,'325'!$D$79</definedName>
    <definedName name="OSRRefD22x_0" localSheetId="59">'326'!$D$26:$D$34,'326'!$D$36:$D$45,'326'!$D$47,'326'!$D$49,'326'!$D$51,'326'!$D$53,'326'!$D$55,'326'!$D$57,'326'!$D$59,'326'!$D$61,'326'!$D$63,'326'!$D$65:$D$66,'326'!$D$68:$D$69,'326'!$D$71:$D$72,'326'!$D$74:$D$76,'326'!$D$78,'326'!$D$80:$D$81,'326'!$D$83</definedName>
    <definedName name="OSRRefD22x_0" localSheetId="68">'327'!$D$26</definedName>
    <definedName name="OSRRefD22x_0" localSheetId="52">'330'!$D$33:$D$40,'330'!$D$42:$D$51,'330'!$D$53,'330'!$D$55,'330'!$D$57,'330'!$D$59:$D$60,'330'!$D$62,'330'!$D$64,'330'!$D$66,'330'!$D$68:$D$69,'330'!$D$71:$D$72,'330'!$D$74:$D$76,'330'!$D$78</definedName>
    <definedName name="OSRRefD22x_0" localSheetId="57">'331'!$D$43:$D$51,'331'!$D$53:$D$62,'331'!$D$64,'331'!$D$66,'331'!$D$68,'331'!$D$70,'331'!$D$72,'331'!$D$74:$D$75,'331'!$D$77:$D$78,'331'!$D$80,'331'!$D$82,'331'!$D$84,'331'!$D$86,'331'!$D$88:$D$89,'331'!$D$91:$D$93,'331'!$D$95:$D$96,'331'!$D$98:$D$99,'331'!$D$101:$D$104,'331'!$D$106,'331'!$D$108:$D$109,'331'!$D$111</definedName>
    <definedName name="OSRRefD22x_0" localSheetId="50">'332'!$D$26:$D$34,'332'!$D$36:$D$45,'332'!$D$47,'332'!$D$49,'332'!$D$51,'332'!$D$53:$D$54,'332'!$D$56,'332'!$D$58:$D$59,'332'!$D$61,'332'!$D$63:$D$66,'332'!$D$68</definedName>
    <definedName name="OSRRefD22x_0" localSheetId="72">'405'!$D$27:$D$35,'405'!$D$37:$D$46,'405'!$D$48,'405'!$D$50,'405'!$D$52,'405'!$D$54:$D$55,'405'!$D$57,'405'!$D$59,'405'!$D$61,'405'!$D$63:$D$64,'405'!$D$66:$D$69,'405'!$D$71,'405'!$D$73:$D$80,'405'!$D$82,'405'!$D$84,'405'!$D$86</definedName>
    <definedName name="OSRRefD22x_0" localSheetId="73">'406'!$D$20,'406'!$D$22</definedName>
    <definedName name="OSRRefD22x_0" localSheetId="74">'411'!$D$20:$D$28,'411'!$D$30:$D$39,'411'!$D$41,'411'!$D$43:$D$44,'411'!$D$46,'411'!$D$48,'411'!$D$50,'411'!$D$52,'411'!$D$54:$D$56,'411'!$D$58:$D$60,'411'!$D$62,'411'!$D$64,'411'!$D$66,'411'!$D$68</definedName>
    <definedName name="OSRRefD22x_0" localSheetId="75">'412'!$D$20,'412'!$D$22,'412'!$D$24,'412'!$D$26</definedName>
    <definedName name="OSRRefD22x_0" localSheetId="76">'413'!$D$20,'413'!$D$22,'413'!$D$24</definedName>
    <definedName name="OSRRefD22x_0" localSheetId="77">'414'!$D$20,'414'!$D$22</definedName>
    <definedName name="OSRRefD22x_0" localSheetId="78">'415'!$D$27:$D$35,'415'!$D$37:$D$46,'415'!$D$48,'415'!$D$50,'415'!$D$52,'415'!$D$54:$D$55,'415'!$D$57,'415'!$D$59,'415'!$D$61,'415'!$D$63,'415'!$D$65:$D$66,'415'!$D$68:$D$71,'415'!$D$73,'415'!$D$75:$D$80,'415'!$D$82:$D$83,'415'!$D$85,'415'!$D$87</definedName>
    <definedName name="OSRRefD22x_0" localSheetId="79">'418'!$D$24:$D$32,'418'!$D$34:$D$43,'418'!$D$45,'418'!$D$47,'418'!$D$49:$D$50,'418'!$D$52,'418'!$D$54,'418'!$D$56,'418'!$D$58:$D$59,'418'!$D$61:$D$64,'418'!$D$66,'418'!$D$68:$D$75,'418'!$D$77:$D$78,'418'!$D$80,'418'!$D$82</definedName>
    <definedName name="OSRRefD22x_0" localSheetId="80">'423'!$D$20:$D$27,'423'!$D$29:$D$38,'423'!$D$40,'423'!$D$42,'423'!$D$44,'423'!$D$46</definedName>
    <definedName name="OSRRefD22x_0" localSheetId="81">'424'!$D$20,'424'!$D$22</definedName>
    <definedName name="OSRRefD22x_0" localSheetId="82">'425'!$D$21,'425'!$D$23</definedName>
    <definedName name="OSRRefD22x_0" localSheetId="85">'430'!$D$20:$D$28,'430'!$D$30:$D$39,'430'!$D$41,'430'!$D$43,'430'!$D$45:$D$46,'430'!$D$48:$D$49,'430'!$D$51,'430'!$D$53</definedName>
    <definedName name="OSRRefD22x_0" localSheetId="86">'433'!$D$27:$D$36,'433'!$D$38:$D$47,'433'!$D$49,'433'!$D$51,'433'!$D$53,'433'!$D$55,'433'!$D$57,'433'!$D$59,'433'!$D$61,'433'!$D$63,'433'!$D$65,'433'!$D$67:$D$69,'433'!$D$71:$D$74,'433'!$D$76:$D$83,'433'!$D$85</definedName>
    <definedName name="OSRRefD22x_0" localSheetId="87">'444'!$D$27:$D$36,'444'!$D$38:$D$47,'444'!$D$49,'444'!$D$51,'444'!$D$53,'444'!$D$55,'444'!$D$57,'444'!$D$59,'444'!$D$61,'444'!$D$63,'444'!$D$65,'444'!$D$67:$D$68,'444'!$D$70:$D$73,'444'!$D$75:$D$81,'444'!$D$83,'444'!$D$85</definedName>
    <definedName name="OSRRefD22x_0" localSheetId="88">'450'!$D$27:$D$36,'450'!$D$38:$D$47,'450'!$D$49,'450'!$D$51,'450'!$D$53,'450'!$D$55,'450'!$D$57,'450'!$D$59,'450'!$D$61,'450'!$D$63,'450'!$D$65,'450'!$D$67:$D$69,'450'!$D$71:$D$74,'450'!$D$76:$D$82,'450'!$D$84,'450'!$D$86,'450'!$D$88</definedName>
    <definedName name="OSRRefD22x_0" localSheetId="71">'491'!$D$27:$D$35,'491'!$D$37:$D$46,'491'!$D$48,'491'!$D$50,'491'!$D$52,'491'!$D$54:$D$55,'491'!$D$57,'491'!$D$59,'491'!$D$61,'491'!$D$63,'491'!$D$65,'491'!$D$67,'491'!$D$69:$D$71,'491'!$D$73:$D$77,'491'!$D$79,'491'!$D$81:$D$89,'491'!$D$91:$D$92,'491'!$D$94,'491'!$D$96</definedName>
    <definedName name="OSRRefD22x_0" localSheetId="84">'492'!$D$27:$D$36,'492'!$D$38:$D$47,'492'!$D$49,'492'!$D$51,'492'!$D$53,'492'!$D$55,'492'!$D$57,'492'!$D$59,'492'!$D$61,'492'!$D$63,'492'!$D$65,'492'!$D$67,'492'!$D$69:$D$71,'492'!$D$73:$D$76,'492'!$D$78:$D$85,'492'!$D$87:$D$88,'492'!$D$90,'492'!$D$92:$D$93</definedName>
    <definedName name="OSRRefD22x_0" localSheetId="90">'501'!$D$21:$D$29,'501'!$D$31:$D$40,'501'!$D$42,'501'!$D$44,'501'!$D$46,'501'!$D$48:$D$49,'501'!$D$51,'501'!$D$53,'501'!$D$55,'501'!$D$57:$D$59,'501'!$D$61,'501'!$D$63:$D$64,'501'!$D$66</definedName>
    <definedName name="OSRRefD22x_0" localSheetId="39">'Div 2'!$D$20:$D$30,'Div 2'!$D$32:$D$41,'Div 2'!$D$43,'Div 2'!$D$45,'Div 2'!$D$47,'Div 2'!$D$49:$D$50,'Div 2'!$D$52,'Div 2'!$D$54,'Div 2'!$D$56,'Div 2'!$D$58,'Div 2'!$D$60,'Div 2'!$D$62,'Div 2'!$D$64:$D$67,'Div 2'!$D$69:$D$72,'Div 2'!$D$74:$D$75,'Div 2'!$D$77,'Div 2'!$D$79:$D$84,'Div 2'!$D$86:$D$87,'Div 2'!$D$89,'Div 2'!$D$91</definedName>
    <definedName name="OSRRefD22x_0" localSheetId="47">'Div 3'!$D$57:$D$66,'Div 3'!$D$68:$D$77,'Div 3'!$D$79,'Div 3'!$D$81,'Div 3'!$D$83,'Div 3'!$D$85:$D$86,'Div 3'!$D$88:$D$89,'Div 3'!$D$91,'Div 3'!$D$93,'Div 3'!$D$95,'Div 3'!$D$97:$D$98,'Div 3'!$D$100:$D$101,'Div 3'!$D$103,'Div 3'!$D$105,'Div 3'!$D$107,'Div 3'!$D$109,'Div 3'!$D$111,'Div 3'!$D$113:$D$116,'Div 3'!$D$118:$D$121,'Div 3'!$D$123:$D$126,'Div 3'!$D$128:$D$129,'Div 3'!$D$131:$D$137,'Div 3'!$D$139:$D$140,'Div 3'!$D$142,'Div 3'!$D$144:$D$146,'Div 3'!$D$148</definedName>
    <definedName name="OSRRefD22x_0" localSheetId="69">'Div 4'!$D$29:$D$38,'Div 4'!$D$40:$D$49,'Div 4'!$D$51,'Div 4'!$D$53,'Div 4'!$D$55,'Div 4'!$D$57:$D$58,'Div 4'!$D$60,'Div 4'!$D$62,'Div 4'!$D$64,'Div 4'!$D$66,'Div 4'!$D$68,'Div 4'!$D$70,'Div 4'!$D$72,'Div 4'!$D$74,'Div 4'!$D$76:$D$78,'Div 4'!$D$80:$D$84,'Div 4'!$D$86,'Div 4'!$D$88:$D$97,'Div 4'!$D$99:$D$100,'Div 4'!$D$102,'Div 4'!$D$104:$D$105,'Div 4'!$D$107</definedName>
    <definedName name="OSRRefD22x_0" localSheetId="89">'Div 5'!$D$21:$D$29,'Div 5'!$D$31:$D$40,'Div 5'!$D$42,'Div 5'!$D$44,'Div 5'!$D$46,'Div 5'!$D$48:$D$49,'Div 5'!$D$51,'Div 5'!$D$53,'Div 5'!$D$55,'Div 5'!$D$57:$D$59,'Div 5'!$D$61,'Div 5'!$D$63:$D$64,'Div 5'!$D$66</definedName>
    <definedName name="OSRRefD22x_0" localSheetId="61">'Div 6'!$D$34:$D$43,'Div 6'!$D$45:$D$54,'Div 6'!$D$56,'Div 6'!$D$58,'Div 6'!$D$60,'Div 6'!$D$62,'Div 6'!$D$64,'Div 6'!$D$66,'Div 6'!$D$68:$D$69,'Div 6'!$D$71</definedName>
    <definedName name="OSRRefD22x_0" localSheetId="2">Summary!$D$65:$D$74,Summary!$D$76:$D$85,Summary!$D$87,Summary!$D$89,Summary!$D$91,Summary!$D$93:$D$94,Summary!$D$96:$D$97,Summary!$D$99,Summary!$D$101,Summary!$D$103,Summary!$D$105:$D$106,Summary!$D$108:$D$109,Summary!$D$111,Summary!$D$113,Summary!$D$115,Summary!$D$117,Summary!$D$119,Summary!$D$121,Summary!$D$123:$D$126,Summary!$D$128:$D$131,Summary!$D$133:$D$137,Summary!$D$139:$D$140,Summary!$D$142:$D$151,Summary!$D$153:$D$154,Summary!$D$156,Summary!$D$158:$D$160,Summary!$D$162</definedName>
    <definedName name="OSRRefD25x_0" localSheetId="48">'300'!$D$144:$D$148</definedName>
    <definedName name="OSRRefD25x_0" localSheetId="49">'300 &amp; 317'!$D$150:$D$156</definedName>
    <definedName name="OSRRefD25x_0" localSheetId="51">'301'!$D$93:$D$94</definedName>
    <definedName name="OSRRefD25x_0" localSheetId="54">'308'!$D$81:$D$84</definedName>
    <definedName name="OSRRefD25x_0" localSheetId="70">'310 &amp; 491'!$D$104:$D$106</definedName>
    <definedName name="OSRRefD25x_0" localSheetId="55">'311'!$D$81:$D$84</definedName>
    <definedName name="OSRRefD25x_0" localSheetId="58">'315'!$D$102:$D$104</definedName>
    <definedName name="OSRRefD25x_0" localSheetId="60">'316'!$D$71</definedName>
    <definedName name="OSRRefD25x_0" localSheetId="62">'317'!$D$74:$D$76</definedName>
    <definedName name="OSRRefD25x_0" localSheetId="57">'331'!$D$114:$D$116</definedName>
    <definedName name="OSRRefD25x_0" localSheetId="50">'332'!$D$71</definedName>
    <definedName name="OSRRefD25x_0" localSheetId="74">'411'!$D$71</definedName>
    <definedName name="OSRRefD25x_0" localSheetId="78">'415'!$D$90</definedName>
    <definedName name="OSRRefD25x_0" localSheetId="80">'423'!$D$49</definedName>
    <definedName name="OSRRefD25x_0" localSheetId="83">'455'!$D$21:$D$22</definedName>
    <definedName name="OSRRefD25x_0" localSheetId="71">'491'!$D$99:$D$101</definedName>
    <definedName name="OSRRefD25x_0" localSheetId="90">'501'!$D$69</definedName>
    <definedName name="OSRRefD25x_0" localSheetId="47">'Div 3'!$D$151:$D$155</definedName>
    <definedName name="OSRRefD25x_0" localSheetId="69">'Div 4'!$D$110:$D$112</definedName>
    <definedName name="OSRRefD25x_0" localSheetId="89">'Div 5'!$D$69</definedName>
    <definedName name="OSRRefD25x_0" localSheetId="61">'Div 6'!$D$74:$D$76</definedName>
    <definedName name="OSRRefD25x_0" localSheetId="2">Summary!$D$165:$D$172</definedName>
    <definedName name="OSRRefH13x_0" localSheetId="48">'300'!$H$13:$H$18</definedName>
    <definedName name="OSRRefH13x_0" localSheetId="49">'300 &amp; 317'!$H$13:$H$18</definedName>
    <definedName name="OSRRefH13x_0" localSheetId="53">'307'!$H$13:$H$15</definedName>
    <definedName name="OSRRefH13x_0" localSheetId="54">'308'!$H$13:$H$16</definedName>
    <definedName name="OSRRefH13x_0" localSheetId="63">'310'!$H$13:$H$16</definedName>
    <definedName name="OSRRefH13x_0" localSheetId="70">'310 &amp; 491'!$H$13:$H$18</definedName>
    <definedName name="OSRRefH13x_0" localSheetId="55">'311'!$H$13:$H$16</definedName>
    <definedName name="OSRRefH13x_0" localSheetId="58">'315'!$H$13:$H$16</definedName>
    <definedName name="OSRRefH13x_0" localSheetId="60">'316'!$H$13:$H$17</definedName>
    <definedName name="OSRRefH13x_0" localSheetId="62">'317'!$H$13:$H$16</definedName>
    <definedName name="OSRRefH13x_0" localSheetId="65">'321'!$H$13:$H$14</definedName>
    <definedName name="OSRRefH13x_0" localSheetId="56">'324'!$H$13:$H$14</definedName>
    <definedName name="OSRRefH13x_0" localSheetId="67">'325'!$H$13:$H$14</definedName>
    <definedName name="OSRRefH13x_0" localSheetId="59">'326'!$H$13:$H$15</definedName>
    <definedName name="OSRRefH13x_0" localSheetId="68">'327'!$H$13:$H$15</definedName>
    <definedName name="OSRRefH13x_0" localSheetId="52">'330'!$H$13:$H$15</definedName>
    <definedName name="OSRRefH13x_0" localSheetId="57">'331'!$H$13:$H$16</definedName>
    <definedName name="OSRRefH13x_0" localSheetId="50">'332'!$H$13:$H$17</definedName>
    <definedName name="OSRRefH13x_0" localSheetId="72">'405'!$H$13:$H$16</definedName>
    <definedName name="OSRRefH13x_0" localSheetId="78">'415'!$H$13:$H$16</definedName>
    <definedName name="OSRRefH13x_0" localSheetId="79">'418'!$H$13:$H$14</definedName>
    <definedName name="OSRRefH13x_0" localSheetId="86">'433'!$H$13:$H$16</definedName>
    <definedName name="OSRRefH13x_0" localSheetId="87">'444'!$H$13:$H$16</definedName>
    <definedName name="OSRRefH13x_0" localSheetId="88">'450'!$H$13:$H$16</definedName>
    <definedName name="OSRRefH13x_0" localSheetId="71">'491'!$H$13:$H$16</definedName>
    <definedName name="OSRRefH13x_0" localSheetId="84">'492'!$H$13:$H$16</definedName>
    <definedName name="OSRRefH13x_0" localSheetId="90">'501'!$H$13</definedName>
    <definedName name="OSRRefH13x_0" localSheetId="47">'Div 3'!$H$13:$H$20</definedName>
    <definedName name="OSRRefH13x_0" localSheetId="69">'Div 4'!$H$13:$H$18</definedName>
    <definedName name="OSRRefH13x_0" localSheetId="89">'Div 5'!$H$13</definedName>
    <definedName name="OSRRefH13x_0" localSheetId="61">'Div 6'!$H$13:$H$16</definedName>
    <definedName name="OSRRefH13x_0" localSheetId="2">Summary!$H$13:$H$22</definedName>
    <definedName name="OSRRefH16x_0" localSheetId="48">'300'!$H$21:$H$47</definedName>
    <definedName name="OSRRefH16x_0" localSheetId="49">'300 &amp; 317'!$H$21:$H$53</definedName>
    <definedName name="OSRRefH16x_0" localSheetId="53">'307'!$H$18:$H$27</definedName>
    <definedName name="OSRRefH16x_0" localSheetId="54">'308'!$H$19:$H$28</definedName>
    <definedName name="OSRRefH16x_0" localSheetId="63">'310'!$H$19:$H$21</definedName>
    <definedName name="OSRRefH16x_0" localSheetId="70">'310 &amp; 491'!$H$21:$H$23</definedName>
    <definedName name="OSRRefH16x_0" localSheetId="55">'311'!$H$19:$H$28</definedName>
    <definedName name="OSRRefH16x_0" localSheetId="58">'315'!$H$19:$H$37</definedName>
    <definedName name="OSRRefH16x_0" localSheetId="60">'316'!$H$20</definedName>
    <definedName name="OSRRefH16x_0" localSheetId="62">'317'!$H$19:$H$28</definedName>
    <definedName name="OSRRefH16x_0" localSheetId="65">'321'!$H$17</definedName>
    <definedName name="OSRRefH16x_0" localSheetId="56">'324'!$H$17</definedName>
    <definedName name="OSRRefH16x_0" localSheetId="67">'325'!$H$17:$H$19</definedName>
    <definedName name="OSRRefH16x_0" localSheetId="59">'326'!$H$18:$H$20</definedName>
    <definedName name="OSRRefH16x_0" localSheetId="68">'327'!$H$18:$H$20</definedName>
    <definedName name="OSRRefH16x_0" localSheetId="52">'330'!$H$18:$H$27</definedName>
    <definedName name="OSRRefH16x_0" localSheetId="57">'331'!$H$19:$H$37</definedName>
    <definedName name="OSRRefH16x_0" localSheetId="50">'332'!$H$20</definedName>
    <definedName name="OSRRefH16x_0" localSheetId="72">'405'!$H$19:$H$21</definedName>
    <definedName name="OSRRefH16x_0" localSheetId="78">'415'!$H$19:$H$21</definedName>
    <definedName name="OSRRefH16x_0" localSheetId="79">'418'!$H$17:$H$18</definedName>
    <definedName name="OSRRefH16x_0" localSheetId="82">'425'!$H$15</definedName>
    <definedName name="OSRRefH16x_0" localSheetId="86">'433'!$H$19:$H$21</definedName>
    <definedName name="OSRRefH16x_0" localSheetId="87">'444'!$H$19:$H$21</definedName>
    <definedName name="OSRRefH16x_0" localSheetId="88">'450'!$H$19:$H$21</definedName>
    <definedName name="OSRRefH16x_0" localSheetId="71">'491'!$H$19:$H$21</definedName>
    <definedName name="OSRRefH16x_0" localSheetId="84">'492'!$H$19:$H$21</definedName>
    <definedName name="OSRRefH16x_0" localSheetId="47">'Div 3'!$H$23:$H$51</definedName>
    <definedName name="OSRRefH16x_0" localSheetId="69">'Div 4'!$H$21:$H$23</definedName>
    <definedName name="OSRRefH16x_0" localSheetId="61">'Div 6'!$H$19:$H$28</definedName>
    <definedName name="OSRRefH16x_0" localSheetId="2">Summary!$H$25:$H$59</definedName>
    <definedName name="OSRRefH22_0x_0" localSheetId="40">'200'!$H$20</definedName>
    <definedName name="OSRRefH22_0x_0" localSheetId="41">'201'!$H$20:$H$28</definedName>
    <definedName name="OSRRefH22_0x_0" localSheetId="42">'202'!$H$20:$H$28</definedName>
    <definedName name="OSRRefH22_0x_0" localSheetId="43">'203'!$H$20:$H$29</definedName>
    <definedName name="OSRRefH22_0x_0" localSheetId="44">'204'!$H$20:$H$28</definedName>
    <definedName name="OSRRefH22_0x_0" localSheetId="45">'205'!$H$20:$H$28</definedName>
    <definedName name="OSRRefH22_0x_0" localSheetId="46">'206'!$H$20:$H$28</definedName>
    <definedName name="OSRRefH22_0x_0" localSheetId="48">'300'!$H$53:$H$62</definedName>
    <definedName name="OSRRefH22_0x_0" localSheetId="49">'300 &amp; 317'!$H$59:$H$68</definedName>
    <definedName name="OSRRefH22_0x_0" localSheetId="51">'301'!$H$20:$H$29</definedName>
    <definedName name="OSRRefH22_0x_0" localSheetId="53">'307'!$H$33:$H$40</definedName>
    <definedName name="OSRRefH22_0x_0" localSheetId="54">'308'!$H$34:$H$43</definedName>
    <definedName name="OSRRefH22_0x_0" localSheetId="64">'309'!$H$20</definedName>
    <definedName name="OSRRefH22_0x_0" localSheetId="63">'310'!$H$27:$H$35</definedName>
    <definedName name="OSRRefH22_0x_0" localSheetId="70">'310 &amp; 491'!$H$29:$H$37</definedName>
    <definedName name="OSRRefH22_0x_0" localSheetId="55">'311'!$H$34:$H$43</definedName>
    <definedName name="OSRRefH22_0x_0" localSheetId="58">'315'!$H$43:$H$51</definedName>
    <definedName name="OSRRefH22_0x_0" localSheetId="60">'316'!$H$26:$H$34</definedName>
    <definedName name="OSRRefH22_0x_0" localSheetId="62">'317'!$H$34:$H$43</definedName>
    <definedName name="OSRRefH22_0x_0" localSheetId="65">'321'!$H$23:$H$31</definedName>
    <definedName name="OSRRefH22_0x_0" localSheetId="66">'322'!$H$20</definedName>
    <definedName name="OSRRefH22_0x_0" localSheetId="67">'325'!$H$25:$H$32</definedName>
    <definedName name="OSRRefH22_0x_0" localSheetId="59">'326'!$H$26:$H$34</definedName>
    <definedName name="OSRRefH22_0x_0" localSheetId="68">'327'!$H$26</definedName>
    <definedName name="OSRRefH22_0x_0" localSheetId="52">'330'!$H$33:$H$40</definedName>
    <definedName name="OSRRefH22_0x_0" localSheetId="57">'331'!$H$43:$H$51</definedName>
    <definedName name="OSRRefH22_0x_0" localSheetId="50">'332'!$H$26:$H$34</definedName>
    <definedName name="OSRRefH22_0x_0" localSheetId="72">'405'!$H$27:$H$35</definedName>
    <definedName name="OSRRefH22_0x_0" localSheetId="73">'406'!$H$20</definedName>
    <definedName name="OSRRefH22_0x_0" localSheetId="74">'411'!$H$20:$H$28</definedName>
    <definedName name="OSRRefH22_0x_0" localSheetId="75">'412'!$H$20</definedName>
    <definedName name="OSRRefH22_0x_0" localSheetId="76">'413'!$H$20</definedName>
    <definedName name="OSRRefH22_0x_0" localSheetId="77">'414'!$H$20</definedName>
    <definedName name="OSRRefH22_0x_0" localSheetId="78">'415'!$H$27:$H$35</definedName>
    <definedName name="OSRRefH22_0x_0" localSheetId="79">'418'!$H$24:$H$32</definedName>
    <definedName name="OSRRefH22_0x_0" localSheetId="80">'423'!$H$20:$H$27</definedName>
    <definedName name="OSRRefH22_0x_0" localSheetId="81">'424'!$H$20</definedName>
    <definedName name="OSRRefH22_0x_0" localSheetId="82">'425'!$H$21</definedName>
    <definedName name="OSRRefH22_0x_0" localSheetId="85">'430'!$H$20:$H$28</definedName>
    <definedName name="OSRRefH22_0x_0" localSheetId="86">'433'!$H$27:$H$36</definedName>
    <definedName name="OSRRefH22_0x_0" localSheetId="87">'444'!$H$27:$H$36</definedName>
    <definedName name="OSRRefH22_0x_0" localSheetId="88">'450'!$H$27:$H$36</definedName>
    <definedName name="OSRRefH22_0x_0" localSheetId="71">'491'!$H$27:$H$35</definedName>
    <definedName name="OSRRefH22_0x_0" localSheetId="84">'492'!$H$27:$H$36</definedName>
    <definedName name="OSRRefH22_0x_0" localSheetId="90">'501'!$H$21:$H$29</definedName>
    <definedName name="OSRRefH22_0x_0" localSheetId="39">'Div 2'!$H$20:$H$30</definedName>
    <definedName name="OSRRefH22_0x_0" localSheetId="47">'Div 3'!$H$57:$H$66</definedName>
    <definedName name="OSRRefH22_0x_0" localSheetId="69">'Div 4'!$H$29:$H$38</definedName>
    <definedName name="OSRRefH22_0x_0" localSheetId="89">'Div 5'!$H$21:$H$29</definedName>
    <definedName name="OSRRefH22_0x_0" localSheetId="61">'Div 6'!$H$34:$H$43</definedName>
    <definedName name="OSRRefH22_0x_0" localSheetId="2">Summary!$H$65:$H$74</definedName>
    <definedName name="OSRRefH22_10x_0" localSheetId="41">'201'!$H$59</definedName>
    <definedName name="OSRRefH22_10x_0" localSheetId="42">'202'!$H$59</definedName>
    <definedName name="OSRRefH22_10x_0" localSheetId="43">'203'!$H$61</definedName>
    <definedName name="OSRRefH22_10x_0" localSheetId="48">'300'!$H$93:$H$94</definedName>
    <definedName name="OSRRefH22_10x_0" localSheetId="49">'300 &amp; 317'!$H$99:$H$100</definedName>
    <definedName name="OSRRefH22_10x_0" localSheetId="51">'301'!$H$59</definedName>
    <definedName name="OSRRefH22_10x_0" localSheetId="53">'307'!$H$71:$H$72</definedName>
    <definedName name="OSRRefH22_10x_0" localSheetId="54">'308'!$H$74:$H$75</definedName>
    <definedName name="OSRRefH22_10x_0" localSheetId="63">'310'!$H$65:$H$67</definedName>
    <definedName name="OSRRefH22_10x_0" localSheetId="70">'310 &amp; 491'!$H$67</definedName>
    <definedName name="OSRRefH22_10x_0" localSheetId="55">'311'!$H$74:$H$75</definedName>
    <definedName name="OSRRefH22_10x_0" localSheetId="58">'315'!$H$81</definedName>
    <definedName name="OSRRefH22_10x_0" localSheetId="60">'316'!$H$68</definedName>
    <definedName name="OSRRefH22_10x_0" localSheetId="65">'321'!$H$64</definedName>
    <definedName name="OSRRefH22_10x_0" localSheetId="67">'325'!$H$62:$H$64</definedName>
    <definedName name="OSRRefH22_10x_0" localSheetId="59">'326'!$H$63</definedName>
    <definedName name="OSRRefH22_10x_0" localSheetId="52">'330'!$H$71:$H$72</definedName>
    <definedName name="OSRRefH22_10x_0" localSheetId="57">'331'!$H$82</definedName>
    <definedName name="OSRRefH22_10x_0" localSheetId="50">'332'!$H$68</definedName>
    <definedName name="OSRRefH22_10x_0" localSheetId="72">'405'!$H$66:$H$69</definedName>
    <definedName name="OSRRefH22_10x_0" localSheetId="74">'411'!$H$62</definedName>
    <definedName name="OSRRefH22_10x_0" localSheetId="78">'415'!$H$65:$H$66</definedName>
    <definedName name="OSRRefH22_10x_0" localSheetId="79">'418'!$H$66</definedName>
    <definedName name="OSRRefH22_10x_0" localSheetId="86">'433'!$H$65</definedName>
    <definedName name="OSRRefH22_10x_0" localSheetId="87">'444'!$H$65</definedName>
    <definedName name="OSRRefH22_10x_0" localSheetId="88">'450'!$H$65</definedName>
    <definedName name="OSRRefH22_10x_0" localSheetId="71">'491'!$H$65</definedName>
    <definedName name="OSRRefH22_10x_0" localSheetId="84">'492'!$H$65</definedName>
    <definedName name="OSRRefH22_10x_0" localSheetId="90">'501'!$H$61</definedName>
    <definedName name="OSRRefH22_10x_0" localSheetId="39">'Div 2'!$H$60</definedName>
    <definedName name="OSRRefH22_10x_0" localSheetId="47">'Div 3'!$H$97:$H$98</definedName>
    <definedName name="OSRRefH22_10x_0" localSheetId="69">'Div 4'!$H$68</definedName>
    <definedName name="OSRRefH22_10x_0" localSheetId="89">'Div 5'!$H$61</definedName>
    <definedName name="OSRRefH22_10x_0" localSheetId="2">Summary!$H$105:$H$106</definedName>
    <definedName name="OSRRefH22_11x_0" localSheetId="41">'201'!$H$61:$H$62</definedName>
    <definedName name="OSRRefH22_11x_0" localSheetId="42">'202'!$H$61</definedName>
    <definedName name="OSRRefH22_11x_0" localSheetId="43">'203'!$H$63:$H$66</definedName>
    <definedName name="OSRRefH22_11x_0" localSheetId="48">'300'!$H$96:$H$97</definedName>
    <definedName name="OSRRefH22_11x_0" localSheetId="49">'300 &amp; 317'!$H$102:$H$103</definedName>
    <definedName name="OSRRefH22_11x_0" localSheetId="51">'301'!$H$61</definedName>
    <definedName name="OSRRefH22_11x_0" localSheetId="53">'307'!$H$74:$H$76</definedName>
    <definedName name="OSRRefH22_11x_0" localSheetId="54">'308'!$H$77:$H$78</definedName>
    <definedName name="OSRRefH22_11x_0" localSheetId="63">'310'!$H$69</definedName>
    <definedName name="OSRRefH22_11x_0" localSheetId="70">'310 &amp; 491'!$H$69</definedName>
    <definedName name="OSRRefH22_11x_0" localSheetId="55">'311'!$H$77:$H$78</definedName>
    <definedName name="OSRRefH22_11x_0" localSheetId="58">'315'!$H$83:$H$84</definedName>
    <definedName name="OSRRefH22_11x_0" localSheetId="65">'321'!$H$66</definedName>
    <definedName name="OSRRefH22_11x_0" localSheetId="67">'325'!$H$66:$H$68</definedName>
    <definedName name="OSRRefH22_11x_0" localSheetId="59">'326'!$H$65:$H$66</definedName>
    <definedName name="OSRRefH22_11x_0" localSheetId="52">'330'!$H$74:$H$76</definedName>
    <definedName name="OSRRefH22_11x_0" localSheetId="57">'331'!$H$84</definedName>
    <definedName name="OSRRefH22_11x_0" localSheetId="72">'405'!$H$71</definedName>
    <definedName name="OSRRefH22_11x_0" localSheetId="74">'411'!$H$64</definedName>
    <definedName name="OSRRefH22_11x_0" localSheetId="78">'415'!$H$68:$H$71</definedName>
    <definedName name="OSRRefH22_11x_0" localSheetId="79">'418'!$H$68:$H$75</definedName>
    <definedName name="OSRRefH22_11x_0" localSheetId="86">'433'!$H$67:$H$69</definedName>
    <definedName name="OSRRefH22_11x_0" localSheetId="87">'444'!$H$67:$H$68</definedName>
    <definedName name="OSRRefH22_11x_0" localSheetId="88">'450'!$H$67:$H$69</definedName>
    <definedName name="OSRRefH22_11x_0" localSheetId="71">'491'!$H$67</definedName>
    <definedName name="OSRRefH22_11x_0" localSheetId="84">'492'!$H$67</definedName>
    <definedName name="OSRRefH22_11x_0" localSheetId="90">'501'!$H$63:$H$64</definedName>
    <definedName name="OSRRefH22_11x_0" localSheetId="39">'Div 2'!$H$62</definedName>
    <definedName name="OSRRefH22_11x_0" localSheetId="47">'Div 3'!$H$100:$H$101</definedName>
    <definedName name="OSRRefH22_11x_0" localSheetId="69">'Div 4'!$H$70</definedName>
    <definedName name="OSRRefH22_11x_0" localSheetId="89">'Div 5'!$H$63:$H$64</definedName>
    <definedName name="OSRRefH22_11x_0" localSheetId="2">Summary!$H$108:$H$109</definedName>
    <definedName name="OSRRefH22_12x_0" localSheetId="41">'201'!$H$64</definedName>
    <definedName name="OSRRefH22_12x_0" localSheetId="43">'203'!$H$68</definedName>
    <definedName name="OSRRefH22_12x_0" localSheetId="48">'300'!$H$99</definedName>
    <definedName name="OSRRefH22_12x_0" localSheetId="49">'300 &amp; 317'!$H$105</definedName>
    <definedName name="OSRRefH22_12x_0" localSheetId="51">'301'!$H$63</definedName>
    <definedName name="OSRRefH22_12x_0" localSheetId="53">'307'!$H$78</definedName>
    <definedName name="OSRRefH22_12x_0" localSheetId="63">'310'!$H$71:$H$73</definedName>
    <definedName name="OSRRefH22_12x_0" localSheetId="70">'310 &amp; 491'!$H$71:$H$73</definedName>
    <definedName name="OSRRefH22_12x_0" localSheetId="58">'315'!$H$86:$H$88</definedName>
    <definedName name="OSRRefH22_12x_0" localSheetId="67">'325'!$H$70:$H$74</definedName>
    <definedName name="OSRRefH22_12x_0" localSheetId="59">'326'!$H$68:$H$69</definedName>
    <definedName name="OSRRefH22_12x_0" localSheetId="52">'330'!$H$78</definedName>
    <definedName name="OSRRefH22_12x_0" localSheetId="57">'331'!$H$86</definedName>
    <definedName name="OSRRefH22_12x_0" localSheetId="72">'405'!$H$73:$H$80</definedName>
    <definedName name="OSRRefH22_12x_0" localSheetId="74">'411'!$H$66</definedName>
    <definedName name="OSRRefH22_12x_0" localSheetId="78">'415'!$H$73</definedName>
    <definedName name="OSRRefH22_12x_0" localSheetId="79">'418'!$H$77:$H$78</definedName>
    <definedName name="OSRRefH22_12x_0" localSheetId="86">'433'!$H$71:$H$74</definedName>
    <definedName name="OSRRefH22_12x_0" localSheetId="87">'444'!$H$70:$H$73</definedName>
    <definedName name="OSRRefH22_12x_0" localSheetId="88">'450'!$H$71:$H$74</definedName>
    <definedName name="OSRRefH22_12x_0" localSheetId="71">'491'!$H$69:$H$71</definedName>
    <definedName name="OSRRefH22_12x_0" localSheetId="84">'492'!$H$69:$H$71</definedName>
    <definedName name="OSRRefH22_12x_0" localSheetId="90">'501'!$H$66</definedName>
    <definedName name="OSRRefH22_12x_0" localSheetId="39">'Div 2'!$H$64:$H$67</definedName>
    <definedName name="OSRRefH22_12x_0" localSheetId="47">'Div 3'!$H$103</definedName>
    <definedName name="OSRRefH22_12x_0" localSheetId="69">'Div 4'!$H$72</definedName>
    <definedName name="OSRRefH22_12x_0" localSheetId="89">'Div 5'!$H$66</definedName>
    <definedName name="OSRRefH22_12x_0" localSheetId="2">Summary!$H$111</definedName>
    <definedName name="OSRRefH22_13x_0" localSheetId="43">'203'!$H$70</definedName>
    <definedName name="OSRRefH22_13x_0" localSheetId="48">'300'!$H$101</definedName>
    <definedName name="OSRRefH22_13x_0" localSheetId="49">'300 &amp; 317'!$H$107</definedName>
    <definedName name="OSRRefH22_13x_0" localSheetId="51">'301'!$H$65</definedName>
    <definedName name="OSRRefH22_13x_0" localSheetId="63">'310'!$H$75:$H$79</definedName>
    <definedName name="OSRRefH22_13x_0" localSheetId="70">'310 &amp; 491'!$H$75</definedName>
    <definedName name="OSRRefH22_13x_0" localSheetId="58">'315'!$H$90:$H$91</definedName>
    <definedName name="OSRRefH22_13x_0" localSheetId="67">'325'!$H$76:$H$77</definedName>
    <definedName name="OSRRefH22_13x_0" localSheetId="59">'326'!$H$71:$H$72</definedName>
    <definedName name="OSRRefH22_13x_0" localSheetId="57">'331'!$H$88:$H$89</definedName>
    <definedName name="OSRRefH22_13x_0" localSheetId="72">'405'!$H$82</definedName>
    <definedName name="OSRRefH22_13x_0" localSheetId="74">'411'!$H$68</definedName>
    <definedName name="OSRRefH22_13x_0" localSheetId="78">'415'!$H$75:$H$80</definedName>
    <definedName name="OSRRefH22_13x_0" localSheetId="79">'418'!$H$80</definedName>
    <definedName name="OSRRefH22_13x_0" localSheetId="86">'433'!$H$76:$H$83</definedName>
    <definedName name="OSRRefH22_13x_0" localSheetId="87">'444'!$H$75:$H$81</definedName>
    <definedName name="OSRRefH22_13x_0" localSheetId="88">'450'!$H$76:$H$82</definedName>
    <definedName name="OSRRefH22_13x_0" localSheetId="71">'491'!$H$73:$H$77</definedName>
    <definedName name="OSRRefH22_13x_0" localSheetId="84">'492'!$H$73:$H$76</definedName>
    <definedName name="OSRRefH22_13x_0" localSheetId="39">'Div 2'!$H$69:$H$72</definedName>
    <definedName name="OSRRefH22_13x_0" localSheetId="47">'Div 3'!$H$105</definedName>
    <definedName name="OSRRefH22_13x_0" localSheetId="69">'Div 4'!$H$74</definedName>
    <definedName name="OSRRefH22_13x_0" localSheetId="2">Summary!$H$113</definedName>
    <definedName name="OSRRefH22_14x_0" localSheetId="48">'300'!$H$103</definedName>
    <definedName name="OSRRefH22_14x_0" localSheetId="49">'300 &amp; 317'!$H$109</definedName>
    <definedName name="OSRRefH22_14x_0" localSheetId="51">'301'!$H$67:$H$70</definedName>
    <definedName name="OSRRefH22_14x_0" localSheetId="63">'310'!$H$81:$H$82</definedName>
    <definedName name="OSRRefH22_14x_0" localSheetId="70">'310 &amp; 491'!$H$77:$H$81</definedName>
    <definedName name="OSRRefH22_14x_0" localSheetId="58">'315'!$H$93:$H$95</definedName>
    <definedName name="OSRRefH22_14x_0" localSheetId="67">'325'!$H$79</definedName>
    <definedName name="OSRRefH22_14x_0" localSheetId="59">'326'!$H$74:$H$76</definedName>
    <definedName name="OSRRefH22_14x_0" localSheetId="57">'331'!$H$91:$H$93</definedName>
    <definedName name="OSRRefH22_14x_0" localSheetId="72">'405'!$H$84</definedName>
    <definedName name="OSRRefH22_14x_0" localSheetId="78">'415'!$H$82:$H$83</definedName>
    <definedName name="OSRRefH22_14x_0" localSheetId="79">'418'!$H$82</definedName>
    <definedName name="OSRRefH22_14x_0" localSheetId="86">'433'!$H$85</definedName>
    <definedName name="OSRRefH22_14x_0" localSheetId="87">'444'!$H$83</definedName>
    <definedName name="OSRRefH22_14x_0" localSheetId="88">'450'!$H$84</definedName>
    <definedName name="OSRRefH22_14x_0" localSheetId="71">'491'!$H$79</definedName>
    <definedName name="OSRRefH22_14x_0" localSheetId="84">'492'!$H$78:$H$85</definedName>
    <definedName name="OSRRefH22_14x_0" localSheetId="39">'Div 2'!$H$74:$H$75</definedName>
    <definedName name="OSRRefH22_14x_0" localSheetId="47">'Div 3'!$H$107</definedName>
    <definedName name="OSRRefH22_14x_0" localSheetId="69">'Div 4'!$H$76:$H$78</definedName>
    <definedName name="OSRRefH22_14x_0" localSheetId="2">Summary!$H$115</definedName>
    <definedName name="OSRRefH22_15x_0" localSheetId="48">'300'!$H$105</definedName>
    <definedName name="OSRRefH22_15x_0" localSheetId="49">'300 &amp; 317'!$H$111</definedName>
    <definedName name="OSRRefH22_15x_0" localSheetId="51">'301'!$H$72:$H$73</definedName>
    <definedName name="OSRRefH22_15x_0" localSheetId="63">'310'!$H$84</definedName>
    <definedName name="OSRRefH22_15x_0" localSheetId="70">'310 &amp; 491'!$H$83</definedName>
    <definedName name="OSRRefH22_15x_0" localSheetId="58">'315'!$H$97</definedName>
    <definedName name="OSRRefH22_15x_0" localSheetId="59">'326'!$H$78</definedName>
    <definedName name="OSRRefH22_15x_0" localSheetId="57">'331'!$H$95:$H$96</definedName>
    <definedName name="OSRRefH22_15x_0" localSheetId="72">'405'!$H$86</definedName>
    <definedName name="OSRRefH22_15x_0" localSheetId="78">'415'!$H$85</definedName>
    <definedName name="OSRRefH22_15x_0" localSheetId="87">'444'!$H$85</definedName>
    <definedName name="OSRRefH22_15x_0" localSheetId="88">'450'!$H$86</definedName>
    <definedName name="OSRRefH22_15x_0" localSheetId="71">'491'!$H$81:$H$89</definedName>
    <definedName name="OSRRefH22_15x_0" localSheetId="84">'492'!$H$87:$H$88</definedName>
    <definedName name="OSRRefH22_15x_0" localSheetId="39">'Div 2'!$H$77</definedName>
    <definedName name="OSRRefH22_15x_0" localSheetId="47">'Div 3'!$H$109</definedName>
    <definedName name="OSRRefH22_15x_0" localSheetId="69">'Div 4'!$H$80:$H$84</definedName>
    <definedName name="OSRRefH22_15x_0" localSheetId="2">Summary!$H$117</definedName>
    <definedName name="OSRRefH22_16x_0" localSheetId="48">'300'!$H$107:$H$110</definedName>
    <definedName name="OSRRefH22_16x_0" localSheetId="49">'300 &amp; 317'!$H$113:$H$116</definedName>
    <definedName name="OSRRefH22_16x_0" localSheetId="51">'301'!$H$75</definedName>
    <definedName name="OSRRefH22_16x_0" localSheetId="63">'310'!$H$86</definedName>
    <definedName name="OSRRefH22_16x_0" localSheetId="70">'310 &amp; 491'!$H$85:$H$94</definedName>
    <definedName name="OSRRefH22_16x_0" localSheetId="58">'315'!$H$99</definedName>
    <definedName name="OSRRefH22_16x_0" localSheetId="59">'326'!$H$80:$H$81</definedName>
    <definedName name="OSRRefH22_16x_0" localSheetId="57">'331'!$H$98:$H$99</definedName>
    <definedName name="OSRRefH22_16x_0" localSheetId="78">'415'!$H$87</definedName>
    <definedName name="OSRRefH22_16x_0" localSheetId="88">'450'!$H$88</definedName>
    <definedName name="OSRRefH22_16x_0" localSheetId="71">'491'!$H$91:$H$92</definedName>
    <definedName name="OSRRefH22_16x_0" localSheetId="84">'492'!$H$90</definedName>
    <definedName name="OSRRefH22_16x_0" localSheetId="39">'Div 2'!$H$79:$H$84</definedName>
    <definedName name="OSRRefH22_16x_0" localSheetId="47">'Div 3'!$H$111</definedName>
    <definedName name="OSRRefH22_16x_0" localSheetId="69">'Div 4'!$H$86</definedName>
    <definedName name="OSRRefH22_16x_0" localSheetId="2">Summary!$H$119</definedName>
    <definedName name="OSRRefH22_17x_0" localSheetId="48">'300'!$H$112:$H$115</definedName>
    <definedName name="OSRRefH22_17x_0" localSheetId="49">'300 &amp; 317'!$H$118:$H$121</definedName>
    <definedName name="OSRRefH22_17x_0" localSheetId="51">'301'!$H$77:$H$82</definedName>
    <definedName name="OSRRefH22_17x_0" localSheetId="70">'310 &amp; 491'!$H$96:$H$97</definedName>
    <definedName name="OSRRefH22_17x_0" localSheetId="59">'326'!$H$83</definedName>
    <definedName name="OSRRefH22_17x_0" localSheetId="57">'331'!$H$101:$H$104</definedName>
    <definedName name="OSRRefH22_17x_0" localSheetId="71">'491'!$H$94</definedName>
    <definedName name="OSRRefH22_17x_0" localSheetId="84">'492'!$H$92:$H$93</definedName>
    <definedName name="OSRRefH22_17x_0" localSheetId="39">'Div 2'!$H$86:$H$87</definedName>
    <definedName name="OSRRefH22_17x_0" localSheetId="47">'Div 3'!$H$113:$H$116</definedName>
    <definedName name="OSRRefH22_17x_0" localSheetId="69">'Div 4'!$H$88:$H$97</definedName>
    <definedName name="OSRRefH22_17x_0" localSheetId="2">Summary!$H$121</definedName>
    <definedName name="OSRRefH22_18x_0" localSheetId="48">'300'!$H$117:$H$119</definedName>
    <definedName name="OSRRefH22_18x_0" localSheetId="49">'300 &amp; 317'!$H$123:$H$125</definedName>
    <definedName name="OSRRefH22_18x_0" localSheetId="51">'301'!$H$84</definedName>
    <definedName name="OSRRefH22_18x_0" localSheetId="70">'310 &amp; 491'!$H$99</definedName>
    <definedName name="OSRRefH22_18x_0" localSheetId="57">'331'!$H$106</definedName>
    <definedName name="OSRRefH22_18x_0" localSheetId="71">'491'!$H$96</definedName>
    <definedName name="OSRRefH22_18x_0" localSheetId="39">'Div 2'!$H$89</definedName>
    <definedName name="OSRRefH22_18x_0" localSheetId="47">'Div 3'!$H$118:$H$121</definedName>
    <definedName name="OSRRefH22_18x_0" localSheetId="69">'Div 4'!$H$99:$H$100</definedName>
    <definedName name="OSRRefH22_18x_0" localSheetId="2">Summary!$H$123:$H$126</definedName>
    <definedName name="OSRRefH22_19x_0" localSheetId="48">'300'!$H$121:$H$122</definedName>
    <definedName name="OSRRefH22_19x_0" localSheetId="49">'300 &amp; 317'!$H$127:$H$128</definedName>
    <definedName name="OSRRefH22_19x_0" localSheetId="51">'301'!$H$86</definedName>
    <definedName name="OSRRefH22_19x_0" localSheetId="70">'310 &amp; 491'!$H$101</definedName>
    <definedName name="OSRRefH22_19x_0" localSheetId="57">'331'!$H$108:$H$109</definedName>
    <definedName name="OSRRefH22_19x_0" localSheetId="39">'Div 2'!$H$91</definedName>
    <definedName name="OSRRefH22_19x_0" localSheetId="47">'Div 3'!$H$123:$H$126</definedName>
    <definedName name="OSRRefH22_19x_0" localSheetId="69">'Div 4'!$H$102</definedName>
    <definedName name="OSRRefH22_19x_0" localSheetId="2">Summary!$H$128:$H$131</definedName>
    <definedName name="OSRRefH22_1x_0" localSheetId="40">'200'!$H$22</definedName>
    <definedName name="OSRRefH22_1x_0" localSheetId="41">'201'!$H$30:$H$39</definedName>
    <definedName name="OSRRefH22_1x_0" localSheetId="42">'202'!$H$30:$H$39</definedName>
    <definedName name="OSRRefH22_1x_0" localSheetId="43">'203'!$H$31:$H$40</definedName>
    <definedName name="OSRRefH22_1x_0" localSheetId="44">'204'!$H$30:$H$39</definedName>
    <definedName name="OSRRefH22_1x_0" localSheetId="45">'205'!$H$30:$H$39</definedName>
    <definedName name="OSRRefH22_1x_0" localSheetId="46">'206'!$H$30:$H$39</definedName>
    <definedName name="OSRRefH22_1x_0" localSheetId="48">'300'!$H$64:$H$73</definedName>
    <definedName name="OSRRefH22_1x_0" localSheetId="49">'300 &amp; 317'!$H$70:$H$79</definedName>
    <definedName name="OSRRefH22_1x_0" localSheetId="51">'301'!$H$31:$H$40</definedName>
    <definedName name="OSRRefH22_1x_0" localSheetId="53">'307'!$H$42:$H$51</definedName>
    <definedName name="OSRRefH22_1x_0" localSheetId="54">'308'!$H$45:$H$54</definedName>
    <definedName name="OSRRefH22_1x_0" localSheetId="64">'309'!$H$22</definedName>
    <definedName name="OSRRefH22_1x_0" localSheetId="63">'310'!$H$37:$H$46</definedName>
    <definedName name="OSRRefH22_1x_0" localSheetId="70">'310 &amp; 491'!$H$39:$H$48</definedName>
    <definedName name="OSRRefH22_1x_0" localSheetId="55">'311'!$H$45:$H$54</definedName>
    <definedName name="OSRRefH22_1x_0" localSheetId="58">'315'!$H$53:$H$62</definedName>
    <definedName name="OSRRefH22_1x_0" localSheetId="60">'316'!$H$36:$H$45</definedName>
    <definedName name="OSRRefH22_1x_0" localSheetId="62">'317'!$H$45:$H$54</definedName>
    <definedName name="OSRRefH22_1x_0" localSheetId="65">'321'!$H$33:$H$42</definedName>
    <definedName name="OSRRefH22_1x_0" localSheetId="67">'325'!$H$34:$H$43</definedName>
    <definedName name="OSRRefH22_1x_0" localSheetId="59">'326'!$H$36:$H$45</definedName>
    <definedName name="OSRRefH22_1x_0" localSheetId="52">'330'!$H$42:$H$51</definedName>
    <definedName name="OSRRefH22_1x_0" localSheetId="57">'331'!$H$53:$H$62</definedName>
    <definedName name="OSRRefH22_1x_0" localSheetId="50">'332'!$H$36:$H$45</definedName>
    <definedName name="OSRRefH22_1x_0" localSheetId="72">'405'!$H$37:$H$46</definedName>
    <definedName name="OSRRefH22_1x_0" localSheetId="73">'406'!$H$22</definedName>
    <definedName name="OSRRefH22_1x_0" localSheetId="74">'411'!$H$30:$H$39</definedName>
    <definedName name="OSRRefH22_1x_0" localSheetId="75">'412'!$H$22</definedName>
    <definedName name="OSRRefH22_1x_0" localSheetId="76">'413'!$H$22</definedName>
    <definedName name="OSRRefH22_1x_0" localSheetId="77">'414'!$H$22</definedName>
    <definedName name="OSRRefH22_1x_0" localSheetId="78">'415'!$H$37:$H$46</definedName>
    <definedName name="OSRRefH22_1x_0" localSheetId="79">'418'!$H$34:$H$43</definedName>
    <definedName name="OSRRefH22_1x_0" localSheetId="80">'423'!$H$29:$H$38</definedName>
    <definedName name="OSRRefH22_1x_0" localSheetId="81">'424'!$H$22</definedName>
    <definedName name="OSRRefH22_1x_0" localSheetId="82">'425'!$H$23</definedName>
    <definedName name="OSRRefH22_1x_0" localSheetId="85">'430'!$H$30:$H$39</definedName>
    <definedName name="OSRRefH22_1x_0" localSheetId="86">'433'!$H$38:$H$47</definedName>
    <definedName name="OSRRefH22_1x_0" localSheetId="87">'444'!$H$38:$H$47</definedName>
    <definedName name="OSRRefH22_1x_0" localSheetId="88">'450'!$H$38:$H$47</definedName>
    <definedName name="OSRRefH22_1x_0" localSheetId="71">'491'!$H$37:$H$46</definedName>
    <definedName name="OSRRefH22_1x_0" localSheetId="84">'492'!$H$38:$H$47</definedName>
    <definedName name="OSRRefH22_1x_0" localSheetId="90">'501'!$H$31:$H$40</definedName>
    <definedName name="OSRRefH22_1x_0" localSheetId="39">'Div 2'!$H$32:$H$41</definedName>
    <definedName name="OSRRefH22_1x_0" localSheetId="47">'Div 3'!$H$68:$H$77</definedName>
    <definedName name="OSRRefH22_1x_0" localSheetId="69">'Div 4'!$H$40:$H$49</definedName>
    <definedName name="OSRRefH22_1x_0" localSheetId="89">'Div 5'!$H$31:$H$40</definedName>
    <definedName name="OSRRefH22_1x_0" localSheetId="61">'Div 6'!$H$45:$H$54</definedName>
    <definedName name="OSRRefH22_1x_0" localSheetId="2">Summary!$H$76:$H$85</definedName>
    <definedName name="OSRRefH22_20x_0" localSheetId="48">'300'!$H$124:$H$130</definedName>
    <definedName name="OSRRefH22_20x_0" localSheetId="49">'300 &amp; 317'!$H$130:$H$136</definedName>
    <definedName name="OSRRefH22_20x_0" localSheetId="51">'301'!$H$88</definedName>
    <definedName name="OSRRefH22_20x_0" localSheetId="57">'331'!$H$111</definedName>
    <definedName name="OSRRefH22_20x_0" localSheetId="47">'Div 3'!$H$128:$H$129</definedName>
    <definedName name="OSRRefH22_20x_0" localSheetId="69">'Div 4'!$H$104:$H$105</definedName>
    <definedName name="OSRRefH22_20x_0" localSheetId="2">Summary!$H$133:$H$137</definedName>
    <definedName name="OSRRefH22_21x_0" localSheetId="48">'300'!$H$132:$H$133</definedName>
    <definedName name="OSRRefH22_21x_0" localSheetId="49">'300 &amp; 317'!$H$138:$H$139</definedName>
    <definedName name="OSRRefH22_21x_0" localSheetId="51">'301'!$H$90</definedName>
    <definedName name="OSRRefH22_21x_0" localSheetId="47">'Div 3'!$H$131:$H$137</definedName>
    <definedName name="OSRRefH22_21x_0" localSheetId="69">'Div 4'!$H$107</definedName>
    <definedName name="OSRRefH22_21x_0" localSheetId="2">Summary!$H$139:$H$140</definedName>
    <definedName name="OSRRefH22_22x_0" localSheetId="48">'300'!$H$135</definedName>
    <definedName name="OSRRefH22_22x_0" localSheetId="49">'300 &amp; 317'!$H$141</definedName>
    <definedName name="OSRRefH22_22x_0" localSheetId="47">'Div 3'!$H$139:$H$140</definedName>
    <definedName name="OSRRefH22_22x_0" localSheetId="2">Summary!$H$142:$H$151</definedName>
    <definedName name="OSRRefH22_23x_0" localSheetId="48">'300'!$H$137:$H$139</definedName>
    <definedName name="OSRRefH22_23x_0" localSheetId="49">'300 &amp; 317'!$H$143:$H$145</definedName>
    <definedName name="OSRRefH22_23x_0" localSheetId="47">'Div 3'!$H$142</definedName>
    <definedName name="OSRRefH22_23x_0" localSheetId="2">Summary!$H$153:$H$154</definedName>
    <definedName name="OSRRefH22_24x_0" localSheetId="48">'300'!$H$141</definedName>
    <definedName name="OSRRefH22_24x_0" localSheetId="49">'300 &amp; 317'!$H$147</definedName>
    <definedName name="OSRRefH22_24x_0" localSheetId="47">'Div 3'!$H$144:$H$146</definedName>
    <definedName name="OSRRefH22_24x_0" localSheetId="2">Summary!$H$156</definedName>
    <definedName name="OSRRefH22_25x_0" localSheetId="47">'Div 3'!$H$148</definedName>
    <definedName name="OSRRefH22_25x_0" localSheetId="2">Summary!$H$158:$H$160</definedName>
    <definedName name="OSRRefH22_26x_0" localSheetId="2">Summary!$H$162</definedName>
    <definedName name="OSRRefH22_2x_0" localSheetId="40">'200'!$H$24</definedName>
    <definedName name="OSRRefH22_2x_0" localSheetId="41">'201'!$H$41</definedName>
    <definedName name="OSRRefH22_2x_0" localSheetId="42">'202'!$H$41</definedName>
    <definedName name="OSRRefH22_2x_0" localSheetId="43">'203'!$H$42</definedName>
    <definedName name="OSRRefH22_2x_0" localSheetId="44">'204'!$H$41</definedName>
    <definedName name="OSRRefH22_2x_0" localSheetId="45">'205'!$H$41</definedName>
    <definedName name="OSRRefH22_2x_0" localSheetId="46">'206'!$H$41</definedName>
    <definedName name="OSRRefH22_2x_0" localSheetId="48">'300'!$H$75</definedName>
    <definedName name="OSRRefH22_2x_0" localSheetId="49">'300 &amp; 317'!$H$81</definedName>
    <definedName name="OSRRefH22_2x_0" localSheetId="51">'301'!$H$42</definedName>
    <definedName name="OSRRefH22_2x_0" localSheetId="53">'307'!$H$53</definedName>
    <definedName name="OSRRefH22_2x_0" localSheetId="54">'308'!$H$56</definedName>
    <definedName name="OSRRefH22_2x_0" localSheetId="64">'309'!$H$24:$H$25</definedName>
    <definedName name="OSRRefH22_2x_0" localSheetId="63">'310'!$H$48</definedName>
    <definedName name="OSRRefH22_2x_0" localSheetId="70">'310 &amp; 491'!$H$50</definedName>
    <definedName name="OSRRefH22_2x_0" localSheetId="55">'311'!$H$56</definedName>
    <definedName name="OSRRefH22_2x_0" localSheetId="58">'315'!$H$64</definedName>
    <definedName name="OSRRefH22_2x_0" localSheetId="60">'316'!$H$47</definedName>
    <definedName name="OSRRefH22_2x_0" localSheetId="62">'317'!$H$56</definedName>
    <definedName name="OSRRefH22_2x_0" localSheetId="65">'321'!$H$44</definedName>
    <definedName name="OSRRefH22_2x_0" localSheetId="67">'325'!$H$45</definedName>
    <definedName name="OSRRefH22_2x_0" localSheetId="59">'326'!$H$47</definedName>
    <definedName name="OSRRefH22_2x_0" localSheetId="52">'330'!$H$53</definedName>
    <definedName name="OSRRefH22_2x_0" localSheetId="57">'331'!$H$64</definedName>
    <definedName name="OSRRefH22_2x_0" localSheetId="50">'332'!$H$47</definedName>
    <definedName name="OSRRefH22_2x_0" localSheetId="72">'405'!$H$48</definedName>
    <definedName name="OSRRefH22_2x_0" localSheetId="74">'411'!$H$41</definedName>
    <definedName name="OSRRefH22_2x_0" localSheetId="75">'412'!$H$24</definedName>
    <definedName name="OSRRefH22_2x_0" localSheetId="76">'413'!$H$24</definedName>
    <definedName name="OSRRefH22_2x_0" localSheetId="78">'415'!$H$48</definedName>
    <definedName name="OSRRefH22_2x_0" localSheetId="79">'418'!$H$45</definedName>
    <definedName name="OSRRefH22_2x_0" localSheetId="80">'423'!$H$40</definedName>
    <definedName name="OSRRefH22_2x_0" localSheetId="85">'430'!$H$41</definedName>
    <definedName name="OSRRefH22_2x_0" localSheetId="86">'433'!$H$49</definedName>
    <definedName name="OSRRefH22_2x_0" localSheetId="87">'444'!$H$49</definedName>
    <definedName name="OSRRefH22_2x_0" localSheetId="88">'450'!$H$49</definedName>
    <definedName name="OSRRefH22_2x_0" localSheetId="71">'491'!$H$48</definedName>
    <definedName name="OSRRefH22_2x_0" localSheetId="84">'492'!$H$49</definedName>
    <definedName name="OSRRefH22_2x_0" localSheetId="90">'501'!$H$42</definedName>
    <definedName name="OSRRefH22_2x_0" localSheetId="39">'Div 2'!$H$43</definedName>
    <definedName name="OSRRefH22_2x_0" localSheetId="47">'Div 3'!$H$79</definedName>
    <definedName name="OSRRefH22_2x_0" localSheetId="69">'Div 4'!$H$51</definedName>
    <definedName name="OSRRefH22_2x_0" localSheetId="89">'Div 5'!$H$42</definedName>
    <definedName name="OSRRefH22_2x_0" localSheetId="61">'Div 6'!$H$56</definedName>
    <definedName name="OSRRefH22_2x_0" localSheetId="2">Summary!$H$87</definedName>
    <definedName name="OSRRefH22_3x_0" localSheetId="40">'200'!$H$26:$H$27</definedName>
    <definedName name="OSRRefH22_3x_0" localSheetId="41">'201'!$H$43</definedName>
    <definedName name="OSRRefH22_3x_0" localSheetId="42">'202'!$H$43</definedName>
    <definedName name="OSRRefH22_3x_0" localSheetId="43">'203'!$H$44</definedName>
    <definedName name="OSRRefH22_3x_0" localSheetId="44">'204'!$H$43:$H$44</definedName>
    <definedName name="OSRRefH22_3x_0" localSheetId="45">'205'!$H$43</definedName>
    <definedName name="OSRRefH22_3x_0" localSheetId="46">'206'!$H$43</definedName>
    <definedName name="OSRRefH22_3x_0" localSheetId="48">'300'!$H$77</definedName>
    <definedName name="OSRRefH22_3x_0" localSheetId="49">'300 &amp; 317'!$H$83</definedName>
    <definedName name="OSRRefH22_3x_0" localSheetId="51">'301'!$H$44</definedName>
    <definedName name="OSRRefH22_3x_0" localSheetId="53">'307'!$H$55</definedName>
    <definedName name="OSRRefH22_3x_0" localSheetId="54">'308'!$H$58</definedName>
    <definedName name="OSRRefH22_3x_0" localSheetId="64">'309'!$H$27</definedName>
    <definedName name="OSRRefH22_3x_0" localSheetId="63">'310'!$H$50</definedName>
    <definedName name="OSRRefH22_3x_0" localSheetId="70">'310 &amp; 491'!$H$52</definedName>
    <definedName name="OSRRefH22_3x_0" localSheetId="55">'311'!$H$58</definedName>
    <definedName name="OSRRefH22_3x_0" localSheetId="58">'315'!$H$66</definedName>
    <definedName name="OSRRefH22_3x_0" localSheetId="60">'316'!$H$49</definedName>
    <definedName name="OSRRefH22_3x_0" localSheetId="62">'317'!$H$58</definedName>
    <definedName name="OSRRefH22_3x_0" localSheetId="65">'321'!$H$46</definedName>
    <definedName name="OSRRefH22_3x_0" localSheetId="67">'325'!$H$47</definedName>
    <definedName name="OSRRefH22_3x_0" localSheetId="59">'326'!$H$49</definedName>
    <definedName name="OSRRefH22_3x_0" localSheetId="52">'330'!$H$55</definedName>
    <definedName name="OSRRefH22_3x_0" localSheetId="57">'331'!$H$66</definedName>
    <definedName name="OSRRefH22_3x_0" localSheetId="50">'332'!$H$49</definedName>
    <definedName name="OSRRefH22_3x_0" localSheetId="72">'405'!$H$50</definedName>
    <definedName name="OSRRefH22_3x_0" localSheetId="74">'411'!$H$43:$H$44</definedName>
    <definedName name="OSRRefH22_3x_0" localSheetId="75">'412'!$H$26</definedName>
    <definedName name="OSRRefH22_3x_0" localSheetId="78">'415'!$H$50</definedName>
    <definedName name="OSRRefH22_3x_0" localSheetId="79">'418'!$H$47</definedName>
    <definedName name="OSRRefH22_3x_0" localSheetId="80">'423'!$H$42</definedName>
    <definedName name="OSRRefH22_3x_0" localSheetId="85">'430'!$H$43</definedName>
    <definedName name="OSRRefH22_3x_0" localSheetId="86">'433'!$H$51</definedName>
    <definedName name="OSRRefH22_3x_0" localSheetId="87">'444'!$H$51</definedName>
    <definedName name="OSRRefH22_3x_0" localSheetId="88">'450'!$H$51</definedName>
    <definedName name="OSRRefH22_3x_0" localSheetId="71">'491'!$H$50</definedName>
    <definedName name="OSRRefH22_3x_0" localSheetId="84">'492'!$H$51</definedName>
    <definedName name="OSRRefH22_3x_0" localSheetId="90">'501'!$H$44</definedName>
    <definedName name="OSRRefH22_3x_0" localSheetId="39">'Div 2'!$H$45</definedName>
    <definedName name="OSRRefH22_3x_0" localSheetId="47">'Div 3'!$H$81</definedName>
    <definedName name="OSRRefH22_3x_0" localSheetId="69">'Div 4'!$H$53</definedName>
    <definedName name="OSRRefH22_3x_0" localSheetId="89">'Div 5'!$H$44</definedName>
    <definedName name="OSRRefH22_3x_0" localSheetId="61">'Div 6'!$H$58</definedName>
    <definedName name="OSRRefH22_3x_0" localSheetId="2">Summary!$H$89</definedName>
    <definedName name="OSRRefH22_4x_0" localSheetId="41">'201'!$H$45</definedName>
    <definedName name="OSRRefH22_4x_0" localSheetId="42">'202'!$H$45</definedName>
    <definedName name="OSRRefH22_4x_0" localSheetId="43">'203'!$H$46</definedName>
    <definedName name="OSRRefH22_4x_0" localSheetId="44">'204'!$H$46</definedName>
    <definedName name="OSRRefH22_4x_0" localSheetId="45">'205'!$H$45:$H$46</definedName>
    <definedName name="OSRRefH22_4x_0" localSheetId="46">'206'!$H$45:$H$46</definedName>
    <definedName name="OSRRefH22_4x_0" localSheetId="48">'300'!$H$79</definedName>
    <definedName name="OSRRefH22_4x_0" localSheetId="49">'300 &amp; 317'!$H$85</definedName>
    <definedName name="OSRRefH22_4x_0" localSheetId="51">'301'!$H$46</definedName>
    <definedName name="OSRRefH22_4x_0" localSheetId="53">'307'!$H$57</definedName>
    <definedName name="OSRRefH22_4x_0" localSheetId="54">'308'!$H$60</definedName>
    <definedName name="OSRRefH22_4x_0" localSheetId="63">'310'!$H$52</definedName>
    <definedName name="OSRRefH22_4x_0" localSheetId="70">'310 &amp; 491'!$H$54</definedName>
    <definedName name="OSRRefH22_4x_0" localSheetId="55">'311'!$H$60</definedName>
    <definedName name="OSRRefH22_4x_0" localSheetId="58">'315'!$H$68</definedName>
    <definedName name="OSRRefH22_4x_0" localSheetId="60">'316'!$H$51</definedName>
    <definedName name="OSRRefH22_4x_0" localSheetId="62">'317'!$H$60</definedName>
    <definedName name="OSRRefH22_4x_0" localSheetId="65">'321'!$H$48</definedName>
    <definedName name="OSRRefH22_4x_0" localSheetId="67">'325'!$H$49</definedName>
    <definedName name="OSRRefH22_4x_0" localSheetId="59">'326'!$H$51</definedName>
    <definedName name="OSRRefH22_4x_0" localSheetId="52">'330'!$H$57</definedName>
    <definedName name="OSRRefH22_4x_0" localSheetId="57">'331'!$H$68</definedName>
    <definedName name="OSRRefH22_4x_0" localSheetId="50">'332'!$H$51</definedName>
    <definedName name="OSRRefH22_4x_0" localSheetId="72">'405'!$H$52</definedName>
    <definedName name="OSRRefH22_4x_0" localSheetId="74">'411'!$H$46</definedName>
    <definedName name="OSRRefH22_4x_0" localSheetId="78">'415'!$H$52</definedName>
    <definedName name="OSRRefH22_4x_0" localSheetId="79">'418'!$H$49:$H$50</definedName>
    <definedName name="OSRRefH22_4x_0" localSheetId="80">'423'!$H$44</definedName>
    <definedName name="OSRRefH22_4x_0" localSheetId="85">'430'!$H$45:$H$46</definedName>
    <definedName name="OSRRefH22_4x_0" localSheetId="86">'433'!$H$53</definedName>
    <definedName name="OSRRefH22_4x_0" localSheetId="87">'444'!$H$53</definedName>
    <definedName name="OSRRefH22_4x_0" localSheetId="88">'450'!$H$53</definedName>
    <definedName name="OSRRefH22_4x_0" localSheetId="71">'491'!$H$52</definedName>
    <definedName name="OSRRefH22_4x_0" localSheetId="84">'492'!$H$53</definedName>
    <definedName name="OSRRefH22_4x_0" localSheetId="90">'501'!$H$46</definedName>
    <definedName name="OSRRefH22_4x_0" localSheetId="39">'Div 2'!$H$47</definedName>
    <definedName name="OSRRefH22_4x_0" localSheetId="47">'Div 3'!$H$83</definedName>
    <definedName name="OSRRefH22_4x_0" localSheetId="69">'Div 4'!$H$55</definedName>
    <definedName name="OSRRefH22_4x_0" localSheetId="89">'Div 5'!$H$46</definedName>
    <definedName name="OSRRefH22_4x_0" localSheetId="61">'Div 6'!$H$60</definedName>
    <definedName name="OSRRefH22_4x_0" localSheetId="2">Summary!$H$91</definedName>
    <definedName name="OSRRefH22_5x_0" localSheetId="41">'201'!$H$47</definedName>
    <definedName name="OSRRefH22_5x_0" localSheetId="42">'202'!$H$47</definedName>
    <definedName name="OSRRefH22_5x_0" localSheetId="43">'203'!$H$48</definedName>
    <definedName name="OSRRefH22_5x_0" localSheetId="44">'204'!$H$48:$H$51</definedName>
    <definedName name="OSRRefH22_5x_0" localSheetId="45">'205'!$H$48</definedName>
    <definedName name="OSRRefH22_5x_0" localSheetId="46">'206'!$H$48</definedName>
    <definedName name="OSRRefH22_5x_0" localSheetId="48">'300'!$H$81:$H$82</definedName>
    <definedName name="OSRRefH22_5x_0" localSheetId="49">'300 &amp; 317'!$H$87:$H$88</definedName>
    <definedName name="OSRRefH22_5x_0" localSheetId="51">'301'!$H$48:$H$49</definedName>
    <definedName name="OSRRefH22_5x_0" localSheetId="53">'307'!$H$59:$H$60</definedName>
    <definedName name="OSRRefH22_5x_0" localSheetId="54">'308'!$H$62</definedName>
    <definedName name="OSRRefH22_5x_0" localSheetId="63">'310'!$H$54:$H$55</definedName>
    <definedName name="OSRRefH22_5x_0" localSheetId="70">'310 &amp; 491'!$H$56:$H$57</definedName>
    <definedName name="OSRRefH22_5x_0" localSheetId="55">'311'!$H$62</definedName>
    <definedName name="OSRRefH22_5x_0" localSheetId="58">'315'!$H$70</definedName>
    <definedName name="OSRRefH22_5x_0" localSheetId="60">'316'!$H$53:$H$54</definedName>
    <definedName name="OSRRefH22_5x_0" localSheetId="62">'317'!$H$62</definedName>
    <definedName name="OSRRefH22_5x_0" localSheetId="65">'321'!$H$50</definedName>
    <definedName name="OSRRefH22_5x_0" localSheetId="67">'325'!$H$51:$H$52</definedName>
    <definedName name="OSRRefH22_5x_0" localSheetId="59">'326'!$H$53</definedName>
    <definedName name="OSRRefH22_5x_0" localSheetId="52">'330'!$H$59:$H$60</definedName>
    <definedName name="OSRRefH22_5x_0" localSheetId="57">'331'!$H$70</definedName>
    <definedName name="OSRRefH22_5x_0" localSheetId="50">'332'!$H$53:$H$54</definedName>
    <definedName name="OSRRefH22_5x_0" localSheetId="72">'405'!$H$54:$H$55</definedName>
    <definedName name="OSRRefH22_5x_0" localSheetId="74">'411'!$H$48</definedName>
    <definedName name="OSRRefH22_5x_0" localSheetId="78">'415'!$H$54:$H$55</definedName>
    <definedName name="OSRRefH22_5x_0" localSheetId="79">'418'!$H$52</definedName>
    <definedName name="OSRRefH22_5x_0" localSheetId="80">'423'!$H$46</definedName>
    <definedName name="OSRRefH22_5x_0" localSheetId="85">'430'!$H$48:$H$49</definedName>
    <definedName name="OSRRefH22_5x_0" localSheetId="86">'433'!$H$55</definedName>
    <definedName name="OSRRefH22_5x_0" localSheetId="87">'444'!$H$55</definedName>
    <definedName name="OSRRefH22_5x_0" localSheetId="88">'450'!$H$55</definedName>
    <definedName name="OSRRefH22_5x_0" localSheetId="71">'491'!$H$54:$H$55</definedName>
    <definedName name="OSRRefH22_5x_0" localSheetId="84">'492'!$H$55</definedName>
    <definedName name="OSRRefH22_5x_0" localSheetId="90">'501'!$H$48:$H$49</definedName>
    <definedName name="OSRRefH22_5x_0" localSheetId="39">'Div 2'!$H$49:$H$50</definedName>
    <definedName name="OSRRefH22_5x_0" localSheetId="47">'Div 3'!$H$85:$H$86</definedName>
    <definedName name="OSRRefH22_5x_0" localSheetId="69">'Div 4'!$H$57:$H$58</definedName>
    <definedName name="OSRRefH22_5x_0" localSheetId="89">'Div 5'!$H$48:$H$49</definedName>
    <definedName name="OSRRefH22_5x_0" localSheetId="61">'Div 6'!$H$62</definedName>
    <definedName name="OSRRefH22_5x_0" localSheetId="2">Summary!$H$93:$H$94</definedName>
    <definedName name="OSRRefH22_6x_0" localSheetId="41">'201'!$H$49</definedName>
    <definedName name="OSRRefH22_6x_0" localSheetId="42">'202'!$H$49:$H$51</definedName>
    <definedName name="OSRRefH22_6x_0" localSheetId="43">'203'!$H$50</definedName>
    <definedName name="OSRRefH22_6x_0" localSheetId="44">'204'!$H$53</definedName>
    <definedName name="OSRRefH22_6x_0" localSheetId="45">'205'!$H$50:$H$52</definedName>
    <definedName name="OSRRefH22_6x_0" localSheetId="46">'206'!$H$50:$H$51</definedName>
    <definedName name="OSRRefH22_6x_0" localSheetId="48">'300'!$H$84:$H$85</definedName>
    <definedName name="OSRRefH22_6x_0" localSheetId="49">'300 &amp; 317'!$H$90:$H$91</definedName>
    <definedName name="OSRRefH22_6x_0" localSheetId="51">'301'!$H$51</definedName>
    <definedName name="OSRRefH22_6x_0" localSheetId="53">'307'!$H$62</definedName>
    <definedName name="OSRRefH22_6x_0" localSheetId="54">'308'!$H$64</definedName>
    <definedName name="OSRRefH22_6x_0" localSheetId="63">'310'!$H$57</definedName>
    <definedName name="OSRRefH22_6x_0" localSheetId="70">'310 &amp; 491'!$H$59</definedName>
    <definedName name="OSRRefH22_6x_0" localSheetId="55">'311'!$H$64</definedName>
    <definedName name="OSRRefH22_6x_0" localSheetId="58">'315'!$H$72</definedName>
    <definedName name="OSRRefH22_6x_0" localSheetId="60">'316'!$H$56</definedName>
    <definedName name="OSRRefH22_6x_0" localSheetId="62">'317'!$H$64</definedName>
    <definedName name="OSRRefH22_6x_0" localSheetId="65">'321'!$H$52:$H$53</definedName>
    <definedName name="OSRRefH22_6x_0" localSheetId="67">'325'!$H$54</definedName>
    <definedName name="OSRRefH22_6x_0" localSheetId="59">'326'!$H$55</definedName>
    <definedName name="OSRRefH22_6x_0" localSheetId="52">'330'!$H$62</definedName>
    <definedName name="OSRRefH22_6x_0" localSheetId="57">'331'!$H$72</definedName>
    <definedName name="OSRRefH22_6x_0" localSheetId="50">'332'!$H$56</definedName>
    <definedName name="OSRRefH22_6x_0" localSheetId="72">'405'!$H$57</definedName>
    <definedName name="OSRRefH22_6x_0" localSheetId="74">'411'!$H$50</definedName>
    <definedName name="OSRRefH22_6x_0" localSheetId="78">'415'!$H$57</definedName>
    <definedName name="OSRRefH22_6x_0" localSheetId="79">'418'!$H$54</definedName>
    <definedName name="OSRRefH22_6x_0" localSheetId="85">'430'!$H$51</definedName>
    <definedName name="OSRRefH22_6x_0" localSheetId="86">'433'!$H$57</definedName>
    <definedName name="OSRRefH22_6x_0" localSheetId="87">'444'!$H$57</definedName>
    <definedName name="OSRRefH22_6x_0" localSheetId="88">'450'!$H$57</definedName>
    <definedName name="OSRRefH22_6x_0" localSheetId="71">'491'!$H$57</definedName>
    <definedName name="OSRRefH22_6x_0" localSheetId="84">'492'!$H$57</definedName>
    <definedName name="OSRRefH22_6x_0" localSheetId="90">'501'!$H$51</definedName>
    <definedName name="OSRRefH22_6x_0" localSheetId="39">'Div 2'!$H$52</definedName>
    <definedName name="OSRRefH22_6x_0" localSheetId="47">'Div 3'!$H$88:$H$89</definedName>
    <definedName name="OSRRefH22_6x_0" localSheetId="69">'Div 4'!$H$60</definedName>
    <definedName name="OSRRefH22_6x_0" localSheetId="89">'Div 5'!$H$51</definedName>
    <definedName name="OSRRefH22_6x_0" localSheetId="61">'Div 6'!$H$64</definedName>
    <definedName name="OSRRefH22_6x_0" localSheetId="2">Summary!$H$96:$H$97</definedName>
    <definedName name="OSRRefH22_7x_0" localSheetId="41">'201'!$H$51</definedName>
    <definedName name="OSRRefH22_7x_0" localSheetId="42">'202'!$H$53</definedName>
    <definedName name="OSRRefH22_7x_0" localSheetId="43">'203'!$H$52</definedName>
    <definedName name="OSRRefH22_7x_0" localSheetId="44">'204'!$H$55:$H$56</definedName>
    <definedName name="OSRRefH22_7x_0" localSheetId="45">'205'!$H$54</definedName>
    <definedName name="OSRRefH22_7x_0" localSheetId="46">'206'!$H$53</definedName>
    <definedName name="OSRRefH22_7x_0" localSheetId="48">'300'!$H$87</definedName>
    <definedName name="OSRRefH22_7x_0" localSheetId="49">'300 &amp; 317'!$H$93</definedName>
    <definedName name="OSRRefH22_7x_0" localSheetId="51">'301'!$H$53</definedName>
    <definedName name="OSRRefH22_7x_0" localSheetId="53">'307'!$H$64</definedName>
    <definedName name="OSRRefH22_7x_0" localSheetId="54">'308'!$H$66</definedName>
    <definedName name="OSRRefH22_7x_0" localSheetId="63">'310'!$H$59</definedName>
    <definedName name="OSRRefH22_7x_0" localSheetId="70">'310 &amp; 491'!$H$61</definedName>
    <definedName name="OSRRefH22_7x_0" localSheetId="55">'311'!$H$66</definedName>
    <definedName name="OSRRefH22_7x_0" localSheetId="58">'315'!$H$74:$H$75</definedName>
    <definedName name="OSRRefH22_7x_0" localSheetId="60">'316'!$H$58:$H$59</definedName>
    <definedName name="OSRRefH22_7x_0" localSheetId="62">'317'!$H$66</definedName>
    <definedName name="OSRRefH22_7x_0" localSheetId="65">'321'!$H$55</definedName>
    <definedName name="OSRRefH22_7x_0" localSheetId="67">'325'!$H$56</definedName>
    <definedName name="OSRRefH22_7x_0" localSheetId="59">'326'!$H$57</definedName>
    <definedName name="OSRRefH22_7x_0" localSheetId="52">'330'!$H$64</definedName>
    <definedName name="OSRRefH22_7x_0" localSheetId="57">'331'!$H$74:$H$75</definedName>
    <definedName name="OSRRefH22_7x_0" localSheetId="50">'332'!$H$58:$H$59</definedName>
    <definedName name="OSRRefH22_7x_0" localSheetId="72">'405'!$H$59</definedName>
    <definedName name="OSRRefH22_7x_0" localSheetId="74">'411'!$H$52</definedName>
    <definedName name="OSRRefH22_7x_0" localSheetId="78">'415'!$H$59</definedName>
    <definedName name="OSRRefH22_7x_0" localSheetId="79">'418'!$H$56</definedName>
    <definedName name="OSRRefH22_7x_0" localSheetId="85">'430'!$H$53</definedName>
    <definedName name="OSRRefH22_7x_0" localSheetId="86">'433'!$H$59</definedName>
    <definedName name="OSRRefH22_7x_0" localSheetId="87">'444'!$H$59</definedName>
    <definedName name="OSRRefH22_7x_0" localSheetId="88">'450'!$H$59</definedName>
    <definedName name="OSRRefH22_7x_0" localSheetId="71">'491'!$H$59</definedName>
    <definedName name="OSRRefH22_7x_0" localSheetId="84">'492'!$H$59</definedName>
    <definedName name="OSRRefH22_7x_0" localSheetId="90">'501'!$H$53</definedName>
    <definedName name="OSRRefH22_7x_0" localSheetId="39">'Div 2'!$H$54</definedName>
    <definedName name="OSRRefH22_7x_0" localSheetId="47">'Div 3'!$H$91</definedName>
    <definedName name="OSRRefH22_7x_0" localSheetId="69">'Div 4'!$H$62</definedName>
    <definedName name="OSRRefH22_7x_0" localSheetId="89">'Div 5'!$H$53</definedName>
    <definedName name="OSRRefH22_7x_0" localSheetId="61">'Div 6'!$H$66</definedName>
    <definedName name="OSRRefH22_7x_0" localSheetId="2">Summary!$H$99</definedName>
    <definedName name="OSRRefH22_8x_0" localSheetId="41">'201'!$H$53:$H$54</definedName>
    <definedName name="OSRRefH22_8x_0" localSheetId="42">'202'!$H$55</definedName>
    <definedName name="OSRRefH22_8x_0" localSheetId="43">'203'!$H$54:$H$56</definedName>
    <definedName name="OSRRefH22_8x_0" localSheetId="48">'300'!$H$89</definedName>
    <definedName name="OSRRefH22_8x_0" localSheetId="49">'300 &amp; 317'!$H$95</definedName>
    <definedName name="OSRRefH22_8x_0" localSheetId="51">'301'!$H$55</definedName>
    <definedName name="OSRRefH22_8x_0" localSheetId="53">'307'!$H$66</definedName>
    <definedName name="OSRRefH22_8x_0" localSheetId="54">'308'!$H$68:$H$70</definedName>
    <definedName name="OSRRefH22_8x_0" localSheetId="63">'310'!$H$61</definedName>
    <definedName name="OSRRefH22_8x_0" localSheetId="70">'310 &amp; 491'!$H$63</definedName>
    <definedName name="OSRRefH22_8x_0" localSheetId="55">'311'!$H$68:$H$70</definedName>
    <definedName name="OSRRefH22_8x_0" localSheetId="58">'315'!$H$77</definedName>
    <definedName name="OSRRefH22_8x_0" localSheetId="60">'316'!$H$61</definedName>
    <definedName name="OSRRefH22_8x_0" localSheetId="62">'317'!$H$68:$H$69</definedName>
    <definedName name="OSRRefH22_8x_0" localSheetId="65">'321'!$H$57:$H$58</definedName>
    <definedName name="OSRRefH22_8x_0" localSheetId="67">'325'!$H$58</definedName>
    <definedName name="OSRRefH22_8x_0" localSheetId="59">'326'!$H$59</definedName>
    <definedName name="OSRRefH22_8x_0" localSheetId="52">'330'!$H$66</definedName>
    <definedName name="OSRRefH22_8x_0" localSheetId="57">'331'!$H$77:$H$78</definedName>
    <definedName name="OSRRefH22_8x_0" localSheetId="50">'332'!$H$61</definedName>
    <definedName name="OSRRefH22_8x_0" localSheetId="72">'405'!$H$61</definedName>
    <definedName name="OSRRefH22_8x_0" localSheetId="74">'411'!$H$54:$H$56</definedName>
    <definedName name="OSRRefH22_8x_0" localSheetId="78">'415'!$H$61</definedName>
    <definedName name="OSRRefH22_8x_0" localSheetId="79">'418'!$H$58:$H$59</definedName>
    <definedName name="OSRRefH22_8x_0" localSheetId="86">'433'!$H$61</definedName>
    <definedName name="OSRRefH22_8x_0" localSheetId="87">'444'!$H$61</definedName>
    <definedName name="OSRRefH22_8x_0" localSheetId="88">'450'!$H$61</definedName>
    <definedName name="OSRRefH22_8x_0" localSheetId="71">'491'!$H$61</definedName>
    <definedName name="OSRRefH22_8x_0" localSheetId="84">'492'!$H$61</definedName>
    <definedName name="OSRRefH22_8x_0" localSheetId="90">'501'!$H$55</definedName>
    <definedName name="OSRRefH22_8x_0" localSheetId="39">'Div 2'!$H$56</definedName>
    <definedName name="OSRRefH22_8x_0" localSheetId="47">'Div 3'!$H$93</definedName>
    <definedName name="OSRRefH22_8x_0" localSheetId="69">'Div 4'!$H$64</definedName>
    <definedName name="OSRRefH22_8x_0" localSheetId="89">'Div 5'!$H$55</definedName>
    <definedName name="OSRRefH22_8x_0" localSheetId="61">'Div 6'!$H$68:$H$69</definedName>
    <definedName name="OSRRefH22_8x_0" localSheetId="2">Summary!$H$101</definedName>
    <definedName name="OSRRefH22_9x_0" localSheetId="41">'201'!$H$56:$H$57</definedName>
    <definedName name="OSRRefH22_9x_0" localSheetId="42">'202'!$H$57</definedName>
    <definedName name="OSRRefH22_9x_0" localSheetId="43">'203'!$H$58:$H$59</definedName>
    <definedName name="OSRRefH22_9x_0" localSheetId="48">'300'!$H$91</definedName>
    <definedName name="OSRRefH22_9x_0" localSheetId="49">'300 &amp; 317'!$H$97</definedName>
    <definedName name="OSRRefH22_9x_0" localSheetId="51">'301'!$H$57</definedName>
    <definedName name="OSRRefH22_9x_0" localSheetId="53">'307'!$H$68:$H$69</definedName>
    <definedName name="OSRRefH22_9x_0" localSheetId="54">'308'!$H$72</definedName>
    <definedName name="OSRRefH22_9x_0" localSheetId="63">'310'!$H$63</definedName>
    <definedName name="OSRRefH22_9x_0" localSheetId="70">'310 &amp; 491'!$H$65</definedName>
    <definedName name="OSRRefH22_9x_0" localSheetId="55">'311'!$H$72</definedName>
    <definedName name="OSRRefH22_9x_0" localSheetId="58">'315'!$H$79</definedName>
    <definedName name="OSRRefH22_9x_0" localSheetId="60">'316'!$H$63:$H$66</definedName>
    <definedName name="OSRRefH22_9x_0" localSheetId="62">'317'!$H$71</definedName>
    <definedName name="OSRRefH22_9x_0" localSheetId="65">'321'!$H$60:$H$62</definedName>
    <definedName name="OSRRefH22_9x_0" localSheetId="67">'325'!$H$60</definedName>
    <definedName name="OSRRefH22_9x_0" localSheetId="59">'326'!$H$61</definedName>
    <definedName name="OSRRefH22_9x_0" localSheetId="52">'330'!$H$68:$H$69</definedName>
    <definedName name="OSRRefH22_9x_0" localSheetId="57">'331'!$H$80</definedName>
    <definedName name="OSRRefH22_9x_0" localSheetId="50">'332'!$H$63:$H$66</definedName>
    <definedName name="OSRRefH22_9x_0" localSheetId="72">'405'!$H$63:$H$64</definedName>
    <definedName name="OSRRefH22_9x_0" localSheetId="74">'411'!$H$58:$H$60</definedName>
    <definedName name="OSRRefH22_9x_0" localSheetId="78">'415'!$H$63</definedName>
    <definedName name="OSRRefH22_9x_0" localSheetId="79">'418'!$H$61:$H$64</definedName>
    <definedName name="OSRRefH22_9x_0" localSheetId="86">'433'!$H$63</definedName>
    <definedName name="OSRRefH22_9x_0" localSheetId="87">'444'!$H$63</definedName>
    <definedName name="OSRRefH22_9x_0" localSheetId="88">'450'!$H$63</definedName>
    <definedName name="OSRRefH22_9x_0" localSheetId="71">'491'!$H$63</definedName>
    <definedName name="OSRRefH22_9x_0" localSheetId="84">'492'!$H$63</definedName>
    <definedName name="OSRRefH22_9x_0" localSheetId="90">'501'!$H$57:$H$59</definedName>
    <definedName name="OSRRefH22_9x_0" localSheetId="39">'Div 2'!$H$58</definedName>
    <definedName name="OSRRefH22_9x_0" localSheetId="47">'Div 3'!$H$95</definedName>
    <definedName name="OSRRefH22_9x_0" localSheetId="69">'Div 4'!$H$66</definedName>
    <definedName name="OSRRefH22_9x_0" localSheetId="89">'Div 5'!$H$57:$H$59</definedName>
    <definedName name="OSRRefH22_9x_0" localSheetId="61">'Div 6'!$H$71</definedName>
    <definedName name="OSRRefH22_9x_0" localSheetId="2">Summary!$H$103</definedName>
    <definedName name="OSRRefH22x_0" localSheetId="40">'200'!$H$20,'200'!$H$22,'200'!$H$24,'200'!$H$26:$H$27</definedName>
    <definedName name="OSRRefH22x_0" localSheetId="41">'201'!$H$20:$H$28,'201'!$H$30:$H$39,'201'!$H$41,'201'!$H$43,'201'!$H$45,'201'!$H$47,'201'!$H$49,'201'!$H$51,'201'!$H$53:$H$54,'201'!$H$56:$H$57,'201'!$H$59,'201'!$H$61:$H$62,'201'!$H$64</definedName>
    <definedName name="OSRRefH22x_0" localSheetId="42">'202'!$H$20:$H$28,'202'!$H$30:$H$39,'202'!$H$41,'202'!$H$43,'202'!$H$45,'202'!$H$47,'202'!$H$49:$H$51,'202'!$H$53,'202'!$H$55,'202'!$H$57,'202'!$H$59,'202'!$H$61</definedName>
    <definedName name="OSRRefH22x_0" localSheetId="43">'203'!$H$20:$H$29,'203'!$H$31:$H$40,'203'!$H$42,'203'!$H$44,'203'!$H$46,'203'!$H$48,'203'!$H$50,'203'!$H$52,'203'!$H$54:$H$56,'203'!$H$58:$H$59,'203'!$H$61,'203'!$H$63:$H$66,'203'!$H$68,'203'!$H$70</definedName>
    <definedName name="OSRRefH22x_0" localSheetId="44">'204'!$H$20:$H$28,'204'!$H$30:$H$39,'204'!$H$41,'204'!$H$43:$H$44,'204'!$H$46,'204'!$H$48:$H$51,'204'!$H$53,'204'!$H$55:$H$56</definedName>
    <definedName name="OSRRefH22x_0" localSheetId="45">'205'!$H$20:$H$28,'205'!$H$30:$H$39,'205'!$H$41,'205'!$H$43,'205'!$H$45:$H$46,'205'!$H$48,'205'!$H$50:$H$52,'205'!$H$54</definedName>
    <definedName name="OSRRefH22x_0" localSheetId="46">'206'!$H$20:$H$28,'206'!$H$30:$H$39,'206'!$H$41,'206'!$H$43,'206'!$H$45:$H$46,'206'!$H$48,'206'!$H$50:$H$51,'206'!$H$53</definedName>
    <definedName name="OSRRefH22x_0" localSheetId="48">'300'!$H$53:$H$62,'300'!$H$64:$H$73,'300'!$H$75,'300'!$H$77,'300'!$H$79,'300'!$H$81:$H$82,'300'!$H$84:$H$85,'300'!$H$87,'300'!$H$89,'300'!$H$91,'300'!$H$93:$H$94,'300'!$H$96:$H$97,'300'!$H$99,'300'!$H$101,'300'!$H$103,'300'!$H$105,'300'!$H$107:$H$110,'300'!$H$112:$H$115,'300'!$H$117:$H$119,'300'!$H$121:$H$122,'300'!$H$124:$H$130,'300'!$H$132:$H$133,'300'!$H$135,'300'!$H$137:$H$139,'300'!$H$141</definedName>
    <definedName name="OSRRefH22x_0" localSheetId="49">'300 &amp; 317'!$H$59:$H$68,'300 &amp; 317'!$H$70:$H$79,'300 &amp; 317'!$H$81,'300 &amp; 317'!$H$83,'300 &amp; 317'!$H$85,'300 &amp; 317'!$H$87:$H$88,'300 &amp; 317'!$H$90:$H$91,'300 &amp; 317'!$H$93,'300 &amp; 317'!$H$95,'300 &amp; 317'!$H$97,'300 &amp; 317'!$H$99:$H$100,'300 &amp; 317'!$H$102:$H$103,'300 &amp; 317'!$H$105,'300 &amp; 317'!$H$107,'300 &amp; 317'!$H$109,'300 &amp; 317'!$H$111,'300 &amp; 317'!$H$113:$H$116,'300 &amp; 317'!$H$118:$H$121,'300 &amp; 317'!$H$123:$H$125,'300 &amp; 317'!$H$127:$H$128,'300 &amp; 317'!$H$130:$H$136,'300 &amp; 317'!$H$138:$H$139,'300 &amp; 317'!$H$141,'300 &amp; 317'!$H$143:$H$145,'300 &amp; 317'!$H$147</definedName>
    <definedName name="OSRRefH22x_0" localSheetId="51">'301'!$H$20:$H$29,'301'!$H$31:$H$40,'301'!$H$42,'301'!$H$44,'301'!$H$46,'301'!$H$48:$H$49,'301'!$H$51,'301'!$H$53,'301'!$H$55,'301'!$H$57,'301'!$H$59,'301'!$H$61,'301'!$H$63,'301'!$H$65,'301'!$H$67:$H$70,'301'!$H$72:$H$73,'301'!$H$75,'301'!$H$77:$H$82,'301'!$H$84,'301'!$H$86,'301'!$H$88,'301'!$H$90</definedName>
    <definedName name="OSRRefH22x_0" localSheetId="53">'307'!$H$33:$H$40,'307'!$H$42:$H$51,'307'!$H$53,'307'!$H$55,'307'!$H$57,'307'!$H$59:$H$60,'307'!$H$62,'307'!$H$64,'307'!$H$66,'307'!$H$68:$H$69,'307'!$H$71:$H$72,'307'!$H$74:$H$76,'307'!$H$78</definedName>
    <definedName name="OSRRefH22x_0" localSheetId="54">'308'!$H$34:$H$43,'308'!$H$45:$H$54,'308'!$H$56,'308'!$H$58,'308'!$H$60,'308'!$H$62,'308'!$H$64,'308'!$H$66,'308'!$H$68:$H$70,'308'!$H$72,'308'!$H$74:$H$75,'308'!$H$77:$H$78</definedName>
    <definedName name="OSRRefH22x_0" localSheetId="64">'309'!$H$20,'309'!$H$22,'309'!$H$24:$H$25,'309'!$H$27</definedName>
    <definedName name="OSRRefH22x_0" localSheetId="63">'310'!$H$27:$H$35,'310'!$H$37:$H$46,'310'!$H$48,'310'!$H$50,'310'!$H$52,'310'!$H$54:$H$55,'310'!$H$57,'310'!$H$59,'310'!$H$61,'310'!$H$63,'310'!$H$65:$H$67,'310'!$H$69,'310'!$H$71:$H$73,'310'!$H$75:$H$79,'310'!$H$81:$H$82,'310'!$H$84,'310'!$H$86</definedName>
    <definedName name="OSRRefH22x_0" localSheetId="70">'310 &amp; 491'!$H$29:$H$37,'310 &amp; 491'!$H$39:$H$48,'310 &amp; 491'!$H$50,'310 &amp; 491'!$H$52,'310 &amp; 491'!$H$54,'310 &amp; 491'!$H$56:$H$57,'310 &amp; 491'!$H$59,'310 &amp; 491'!$H$61,'310 &amp; 491'!$H$63,'310 &amp; 491'!$H$65,'310 &amp; 491'!$H$67,'310 &amp; 491'!$H$69,'310 &amp; 491'!$H$71:$H$73,'310 &amp; 491'!$H$75,'310 &amp; 491'!$H$77:$H$81,'310 &amp; 491'!$H$83,'310 &amp; 491'!$H$85:$H$94,'310 &amp; 491'!$H$96:$H$97,'310 &amp; 491'!$H$99,'310 &amp; 491'!$H$101</definedName>
    <definedName name="OSRRefH22x_0" localSheetId="55">'311'!$H$34:$H$43,'311'!$H$45:$H$54,'311'!$H$56,'311'!$H$58,'311'!$H$60,'311'!$H$62,'311'!$H$64,'311'!$H$66,'311'!$H$68:$H$70,'311'!$H$72,'311'!$H$74:$H$75,'311'!$H$77:$H$78</definedName>
    <definedName name="OSRRefH22x_0" localSheetId="58">'315'!$H$43:$H$51,'315'!$H$53:$H$62,'315'!$H$64,'315'!$H$66,'315'!$H$68,'315'!$H$70,'315'!$H$72,'315'!$H$74:$H$75,'315'!$H$77,'315'!$H$79,'315'!$H$81,'315'!$H$83:$H$84,'315'!$H$86:$H$88,'315'!$H$90:$H$91,'315'!$H$93:$H$95,'315'!$H$97,'315'!$H$99</definedName>
    <definedName name="OSRRefH22x_0" localSheetId="60">'316'!$H$26:$H$34,'316'!$H$36:$H$45,'316'!$H$47,'316'!$H$49,'316'!$H$51,'316'!$H$53:$H$54,'316'!$H$56,'316'!$H$58:$H$59,'316'!$H$61,'316'!$H$63:$H$66,'316'!$H$68</definedName>
    <definedName name="OSRRefH22x_0" localSheetId="62">'317'!$H$34:$H$43,'317'!$H$45:$H$54,'317'!$H$56,'317'!$H$58,'317'!$H$60,'317'!$H$62,'317'!$H$64,'317'!$H$66,'317'!$H$68:$H$69,'317'!$H$71</definedName>
    <definedName name="OSRRefH22x_0" localSheetId="65">'321'!$H$23:$H$31,'321'!$H$33:$H$42,'321'!$H$44,'321'!$H$46,'321'!$H$48,'321'!$H$50,'321'!$H$52:$H$53,'321'!$H$55,'321'!$H$57:$H$58,'321'!$H$60:$H$62,'321'!$H$64,'321'!$H$66</definedName>
    <definedName name="OSRRefH22x_0" localSheetId="66">'322'!$H$20</definedName>
    <definedName name="OSRRefH22x_0" localSheetId="67">'325'!$H$25:$H$32,'325'!$H$34:$H$43,'325'!$H$45,'325'!$H$47,'325'!$H$49,'325'!$H$51:$H$52,'325'!$H$54,'325'!$H$56,'325'!$H$58,'325'!$H$60,'325'!$H$62:$H$64,'325'!$H$66:$H$68,'325'!$H$70:$H$74,'325'!$H$76:$H$77,'325'!$H$79</definedName>
    <definedName name="OSRRefH22x_0" localSheetId="59">'326'!$H$26:$H$34,'326'!$H$36:$H$45,'326'!$H$47,'326'!$H$49,'326'!$H$51,'326'!$H$53,'326'!$H$55,'326'!$H$57,'326'!$H$59,'326'!$H$61,'326'!$H$63,'326'!$H$65:$H$66,'326'!$H$68:$H$69,'326'!$H$71:$H$72,'326'!$H$74:$H$76,'326'!$H$78,'326'!$H$80:$H$81,'326'!$H$83</definedName>
    <definedName name="OSRRefH22x_0" localSheetId="68">'327'!$H$26</definedName>
    <definedName name="OSRRefH22x_0" localSheetId="52">'330'!$H$33:$H$40,'330'!$H$42:$H$51,'330'!$H$53,'330'!$H$55,'330'!$H$57,'330'!$H$59:$H$60,'330'!$H$62,'330'!$H$64,'330'!$H$66,'330'!$H$68:$H$69,'330'!$H$71:$H$72,'330'!$H$74:$H$76,'330'!$H$78</definedName>
    <definedName name="OSRRefH22x_0" localSheetId="57">'331'!$H$43:$H$51,'331'!$H$53:$H$62,'331'!$H$64,'331'!$H$66,'331'!$H$68,'331'!$H$70,'331'!$H$72,'331'!$H$74:$H$75,'331'!$H$77:$H$78,'331'!$H$80,'331'!$H$82,'331'!$H$84,'331'!$H$86,'331'!$H$88:$H$89,'331'!$H$91:$H$93,'331'!$H$95:$H$96,'331'!$H$98:$H$99,'331'!$H$101:$H$104,'331'!$H$106,'331'!$H$108:$H$109,'331'!$H$111</definedName>
    <definedName name="OSRRefH22x_0" localSheetId="50">'332'!$H$26:$H$34,'332'!$H$36:$H$45,'332'!$H$47,'332'!$H$49,'332'!$H$51,'332'!$H$53:$H$54,'332'!$H$56,'332'!$H$58:$H$59,'332'!$H$61,'332'!$H$63:$H$66,'332'!$H$68</definedName>
    <definedName name="OSRRefH22x_0" localSheetId="72">'405'!$H$27:$H$35,'405'!$H$37:$H$46,'405'!$H$48,'405'!$H$50,'405'!$H$52,'405'!$H$54:$H$55,'405'!$H$57,'405'!$H$59,'405'!$H$61,'405'!$H$63:$H$64,'405'!$H$66:$H$69,'405'!$H$71,'405'!$H$73:$H$80,'405'!$H$82,'405'!$H$84,'405'!$H$86</definedName>
    <definedName name="OSRRefH22x_0" localSheetId="73">'406'!$H$20,'406'!$H$22</definedName>
    <definedName name="OSRRefH22x_0" localSheetId="74">'411'!$H$20:$H$28,'411'!$H$30:$H$39,'411'!$H$41,'411'!$H$43:$H$44,'411'!$H$46,'411'!$H$48,'411'!$H$50,'411'!$H$52,'411'!$H$54:$H$56,'411'!$H$58:$H$60,'411'!$H$62,'411'!$H$64,'411'!$H$66,'411'!$H$68</definedName>
    <definedName name="OSRRefH22x_0" localSheetId="75">'412'!$H$20,'412'!$H$22,'412'!$H$24,'412'!$H$26</definedName>
    <definedName name="OSRRefH22x_0" localSheetId="76">'413'!$H$20,'413'!$H$22,'413'!$H$24</definedName>
    <definedName name="OSRRefH22x_0" localSheetId="77">'414'!$H$20,'414'!$H$22</definedName>
    <definedName name="OSRRefH22x_0" localSheetId="78">'415'!$H$27:$H$35,'415'!$H$37:$H$46,'415'!$H$48,'415'!$H$50,'415'!$H$52,'415'!$H$54:$H$55,'415'!$H$57,'415'!$H$59,'415'!$H$61,'415'!$H$63,'415'!$H$65:$H$66,'415'!$H$68:$H$71,'415'!$H$73,'415'!$H$75:$H$80,'415'!$H$82:$H$83,'415'!$H$85,'415'!$H$87</definedName>
    <definedName name="OSRRefH22x_0" localSheetId="79">'418'!$H$24:$H$32,'418'!$H$34:$H$43,'418'!$H$45,'418'!$H$47,'418'!$H$49:$H$50,'418'!$H$52,'418'!$H$54,'418'!$H$56,'418'!$H$58:$H$59,'418'!$H$61:$H$64,'418'!$H$66,'418'!$H$68:$H$75,'418'!$H$77:$H$78,'418'!$H$80,'418'!$H$82</definedName>
    <definedName name="OSRRefH22x_0" localSheetId="80">'423'!$H$20:$H$27,'423'!$H$29:$H$38,'423'!$H$40,'423'!$H$42,'423'!$H$44,'423'!$H$46</definedName>
    <definedName name="OSRRefH22x_0" localSheetId="81">'424'!$H$20,'424'!$H$22</definedName>
    <definedName name="OSRRefH22x_0" localSheetId="82">'425'!$H$21,'425'!$H$23</definedName>
    <definedName name="OSRRefH22x_0" localSheetId="85">'430'!$H$20:$H$28,'430'!$H$30:$H$39,'430'!$H$41,'430'!$H$43,'430'!$H$45:$H$46,'430'!$H$48:$H$49,'430'!$H$51,'430'!$H$53</definedName>
    <definedName name="OSRRefH22x_0" localSheetId="86">'433'!$H$27:$H$36,'433'!$H$38:$H$47,'433'!$H$49,'433'!$H$51,'433'!$H$53,'433'!$H$55,'433'!$H$57,'433'!$H$59,'433'!$H$61,'433'!$H$63,'433'!$H$65,'433'!$H$67:$H$69,'433'!$H$71:$H$74,'433'!$H$76:$H$83,'433'!$H$85</definedName>
    <definedName name="OSRRefH22x_0" localSheetId="87">'444'!$H$27:$H$36,'444'!$H$38:$H$47,'444'!$H$49,'444'!$H$51,'444'!$H$53,'444'!$H$55,'444'!$H$57,'444'!$H$59,'444'!$H$61,'444'!$H$63,'444'!$H$65,'444'!$H$67:$H$68,'444'!$H$70:$H$73,'444'!$H$75:$H$81,'444'!$H$83,'444'!$H$85</definedName>
    <definedName name="OSRRefH22x_0" localSheetId="88">'450'!$H$27:$H$36,'450'!$H$38:$H$47,'450'!$H$49,'450'!$H$51,'450'!$H$53,'450'!$H$55,'450'!$H$57,'450'!$H$59,'450'!$H$61,'450'!$H$63,'450'!$H$65,'450'!$H$67:$H$69,'450'!$H$71:$H$74,'450'!$H$76:$H$82,'450'!$H$84,'450'!$H$86,'450'!$H$88</definedName>
    <definedName name="OSRRefH22x_0" localSheetId="71">'491'!$H$27:$H$35,'491'!$H$37:$H$46,'491'!$H$48,'491'!$H$50,'491'!$H$52,'491'!$H$54:$H$55,'491'!$H$57,'491'!$H$59,'491'!$H$61,'491'!$H$63,'491'!$H$65,'491'!$H$67,'491'!$H$69:$H$71,'491'!$H$73:$H$77,'491'!$H$79,'491'!$H$81:$H$89,'491'!$H$91:$H$92,'491'!$H$94,'491'!$H$96</definedName>
    <definedName name="OSRRefH22x_0" localSheetId="84">'492'!$H$27:$H$36,'492'!$H$38:$H$47,'492'!$H$49,'492'!$H$51,'492'!$H$53,'492'!$H$55,'492'!$H$57,'492'!$H$59,'492'!$H$61,'492'!$H$63,'492'!$H$65,'492'!$H$67,'492'!$H$69:$H$71,'492'!$H$73:$H$76,'492'!$H$78:$H$85,'492'!$H$87:$H$88,'492'!$H$90,'492'!$H$92:$H$93</definedName>
    <definedName name="OSRRefH22x_0" localSheetId="90">'501'!$H$21:$H$29,'501'!$H$31:$H$40,'501'!$H$42,'501'!$H$44,'501'!$H$46,'501'!$H$48:$H$49,'501'!$H$51,'501'!$H$53,'501'!$H$55,'501'!$H$57:$H$59,'501'!$H$61,'501'!$H$63:$H$64,'501'!$H$66</definedName>
    <definedName name="OSRRefH22x_0" localSheetId="39">'Div 2'!$H$20:$H$30,'Div 2'!$H$32:$H$41,'Div 2'!$H$43,'Div 2'!$H$45,'Div 2'!$H$47,'Div 2'!$H$49:$H$50,'Div 2'!$H$52,'Div 2'!$H$54,'Div 2'!$H$56,'Div 2'!$H$58,'Div 2'!$H$60,'Div 2'!$H$62,'Div 2'!$H$64:$H$67,'Div 2'!$H$69:$H$72,'Div 2'!$H$74:$H$75,'Div 2'!$H$77,'Div 2'!$H$79:$H$84,'Div 2'!$H$86:$H$87,'Div 2'!$H$89,'Div 2'!$H$91</definedName>
    <definedName name="OSRRefH22x_0" localSheetId="47">'Div 3'!$H$57:$H$66,'Div 3'!$H$68:$H$77,'Div 3'!$H$79,'Div 3'!$H$81,'Div 3'!$H$83,'Div 3'!$H$85:$H$86,'Div 3'!$H$88:$H$89,'Div 3'!$H$91,'Div 3'!$H$93,'Div 3'!$H$95,'Div 3'!$H$97:$H$98,'Div 3'!$H$100:$H$101,'Div 3'!$H$103,'Div 3'!$H$105,'Div 3'!$H$107,'Div 3'!$H$109,'Div 3'!$H$111,'Div 3'!$H$113:$H$116,'Div 3'!$H$118:$H$121,'Div 3'!$H$123:$H$126,'Div 3'!$H$128:$H$129,'Div 3'!$H$131:$H$137,'Div 3'!$H$139:$H$140,'Div 3'!$H$142,'Div 3'!$H$144:$H$146,'Div 3'!$H$148</definedName>
    <definedName name="OSRRefH22x_0" localSheetId="69">'Div 4'!$H$29:$H$38,'Div 4'!$H$40:$H$49,'Div 4'!$H$51,'Div 4'!$H$53,'Div 4'!$H$55,'Div 4'!$H$57:$H$58,'Div 4'!$H$60,'Div 4'!$H$62,'Div 4'!$H$64,'Div 4'!$H$66,'Div 4'!$H$68,'Div 4'!$H$70,'Div 4'!$H$72,'Div 4'!$H$74,'Div 4'!$H$76:$H$78,'Div 4'!$H$80:$H$84,'Div 4'!$H$86,'Div 4'!$H$88:$H$97,'Div 4'!$H$99:$H$100,'Div 4'!$H$102,'Div 4'!$H$104:$H$105,'Div 4'!$H$107</definedName>
    <definedName name="OSRRefH22x_0" localSheetId="89">'Div 5'!$H$21:$H$29,'Div 5'!$H$31:$H$40,'Div 5'!$H$42,'Div 5'!$H$44,'Div 5'!$H$46,'Div 5'!$H$48:$H$49,'Div 5'!$H$51,'Div 5'!$H$53,'Div 5'!$H$55,'Div 5'!$H$57:$H$59,'Div 5'!$H$61,'Div 5'!$H$63:$H$64,'Div 5'!$H$66</definedName>
    <definedName name="OSRRefH22x_0" localSheetId="61">'Div 6'!$H$34:$H$43,'Div 6'!$H$45:$H$54,'Div 6'!$H$56,'Div 6'!$H$58,'Div 6'!$H$60,'Div 6'!$H$62,'Div 6'!$H$64,'Div 6'!$H$66,'Div 6'!$H$68:$H$69,'Div 6'!$H$71</definedName>
    <definedName name="OSRRefH22x_0" localSheetId="2">Summary!$H$65:$H$74,Summary!$H$76:$H$85,Summary!$H$87,Summary!$H$89,Summary!$H$91,Summary!$H$93:$H$94,Summary!$H$96:$H$97,Summary!$H$99,Summary!$H$101,Summary!$H$103,Summary!$H$105:$H$106,Summary!$H$108:$H$109,Summary!$H$111,Summary!$H$113,Summary!$H$115,Summary!$H$117,Summary!$H$119,Summary!$H$121,Summary!$H$123:$H$126,Summary!$H$128:$H$131,Summary!$H$133:$H$137,Summary!$H$139:$H$140,Summary!$H$142:$H$151,Summary!$H$153:$H$154,Summary!$H$156,Summary!$H$158:$H$160,Summary!$H$162</definedName>
    <definedName name="OSRRefH25x_0" localSheetId="48">'300'!$H$144:$H$148</definedName>
    <definedName name="OSRRefH25x_0" localSheetId="49">'300 &amp; 317'!$H$150:$H$156</definedName>
    <definedName name="OSRRefH25x_0" localSheetId="51">'301'!$H$93:$H$94</definedName>
    <definedName name="OSRRefH25x_0" localSheetId="54">'308'!$H$81:$H$84</definedName>
    <definedName name="OSRRefH25x_0" localSheetId="70">'310 &amp; 491'!$H$104:$H$106</definedName>
    <definedName name="OSRRefH25x_0" localSheetId="55">'311'!$H$81:$H$84</definedName>
    <definedName name="OSRRefH25x_0" localSheetId="58">'315'!$H$102:$H$104</definedName>
    <definedName name="OSRRefH25x_0" localSheetId="60">'316'!$H$71</definedName>
    <definedName name="OSRRefH25x_0" localSheetId="62">'317'!$H$74:$H$76</definedName>
    <definedName name="OSRRefH25x_0" localSheetId="57">'331'!$H$114:$H$116</definedName>
    <definedName name="OSRRefH25x_0" localSheetId="50">'332'!$H$71</definedName>
    <definedName name="OSRRefH25x_0" localSheetId="74">'411'!$H$71</definedName>
    <definedName name="OSRRefH25x_0" localSheetId="78">'415'!$H$90</definedName>
    <definedName name="OSRRefH25x_0" localSheetId="80">'423'!$H$49</definedName>
    <definedName name="OSRRefH25x_0" localSheetId="83">'455'!$H$21:$H$22</definedName>
    <definedName name="OSRRefH25x_0" localSheetId="71">'491'!$H$99:$H$101</definedName>
    <definedName name="OSRRefH25x_0" localSheetId="90">'501'!$H$69</definedName>
    <definedName name="OSRRefH25x_0" localSheetId="47">'Div 3'!$H$151:$H$155</definedName>
    <definedName name="OSRRefH25x_0" localSheetId="69">'Div 4'!$H$110:$H$112</definedName>
    <definedName name="OSRRefH25x_0" localSheetId="89">'Div 5'!$H$69</definedName>
    <definedName name="OSRRefH25x_0" localSheetId="61">'Div 6'!$H$74:$H$76</definedName>
    <definedName name="OSRRefH25x_0" localSheetId="2">Summary!$H$165:$H$172</definedName>
    <definedName name="OSRRefP13x_0" localSheetId="48">'300'!$P$13:$P$18</definedName>
    <definedName name="OSRRefP13x_0" localSheetId="49">'300 &amp; 317'!$P$13:$P$18</definedName>
    <definedName name="OSRRefP13x_0" localSheetId="53">'307'!$P$13:$P$15</definedName>
    <definedName name="OSRRefP13x_0" localSheetId="54">'308'!$P$13:$P$16</definedName>
    <definedName name="OSRRefP13x_0" localSheetId="63">'310'!$P$13:$P$16</definedName>
    <definedName name="OSRRefP13x_0" localSheetId="70">'310 &amp; 491'!$P$13:$P$18</definedName>
    <definedName name="OSRRefP13x_0" localSheetId="55">'311'!$P$13:$P$16</definedName>
    <definedName name="OSRRefP13x_0" localSheetId="58">'315'!$P$13:$P$16</definedName>
    <definedName name="OSRRefP13x_0" localSheetId="60">'316'!$P$13:$P$17</definedName>
    <definedName name="OSRRefP13x_0" localSheetId="62">'317'!$P$13:$P$16</definedName>
    <definedName name="OSRRefP13x_0" localSheetId="65">'321'!$P$13:$P$14</definedName>
    <definedName name="OSRRefP13x_0" localSheetId="56">'324'!$P$13:$P$14</definedName>
    <definedName name="OSRRefP13x_0" localSheetId="67">'325'!$P$13:$P$14</definedName>
    <definedName name="OSRRefP13x_0" localSheetId="59">'326'!$P$13:$P$15</definedName>
    <definedName name="OSRRefP13x_0" localSheetId="68">'327'!$P$13:$P$15</definedName>
    <definedName name="OSRRefP13x_0" localSheetId="52">'330'!$P$13:$P$15</definedName>
    <definedName name="OSRRefP13x_0" localSheetId="57">'331'!$P$13:$P$16</definedName>
    <definedName name="OSRRefP13x_0" localSheetId="50">'332'!$P$13:$P$17</definedName>
    <definedName name="OSRRefP13x_0" localSheetId="72">'405'!$P$13:$P$16</definedName>
    <definedName name="OSRRefP13x_0" localSheetId="78">'415'!$P$13:$P$16</definedName>
    <definedName name="OSRRefP13x_0" localSheetId="79">'418'!$P$13:$P$14</definedName>
    <definedName name="OSRRefP13x_0" localSheetId="86">'433'!$P$13:$P$16</definedName>
    <definedName name="OSRRefP13x_0" localSheetId="87">'444'!$P$13:$P$16</definedName>
    <definedName name="OSRRefP13x_0" localSheetId="88">'450'!$P$13:$P$16</definedName>
    <definedName name="OSRRefP13x_0" localSheetId="71">'491'!$P$13:$P$16</definedName>
    <definedName name="OSRRefP13x_0" localSheetId="84">'492'!$P$13:$P$16</definedName>
    <definedName name="OSRRefP13x_0" localSheetId="90">'501'!$P$13</definedName>
    <definedName name="OSRRefP13x_0" localSheetId="47">'Div 3'!$P$13:$P$20</definedName>
    <definedName name="OSRRefP13x_0" localSheetId="69">'Div 4'!$P$13:$P$18</definedName>
    <definedName name="OSRRefP13x_0" localSheetId="89">'Div 5'!$P$13</definedName>
    <definedName name="OSRRefP13x_0" localSheetId="61">'Div 6'!$P$13:$P$16</definedName>
    <definedName name="OSRRefP13x_0" localSheetId="2">Summary!$P$13:$P$22</definedName>
    <definedName name="OSRRefP16x_0" localSheetId="48">'300'!$P$21:$P$47</definedName>
    <definedName name="OSRRefP16x_0" localSheetId="49">'300 &amp; 317'!$P$21:$P$53</definedName>
    <definedName name="OSRRefP16x_0" localSheetId="53">'307'!$P$18:$P$27</definedName>
    <definedName name="OSRRefP16x_0" localSheetId="54">'308'!$P$19:$P$28</definedName>
    <definedName name="OSRRefP16x_0" localSheetId="63">'310'!$P$19:$P$21</definedName>
    <definedName name="OSRRefP16x_0" localSheetId="70">'310 &amp; 491'!$P$21:$P$23</definedName>
    <definedName name="OSRRefP16x_0" localSheetId="55">'311'!$P$19:$P$28</definedName>
    <definedName name="OSRRefP16x_0" localSheetId="58">'315'!$P$19:$P$37</definedName>
    <definedName name="OSRRefP16x_0" localSheetId="60">'316'!$P$20</definedName>
    <definedName name="OSRRefP16x_0" localSheetId="62">'317'!$P$19:$P$28</definedName>
    <definedName name="OSRRefP16x_0" localSheetId="65">'321'!$P$17</definedName>
    <definedName name="OSRRefP16x_0" localSheetId="56">'324'!$P$17</definedName>
    <definedName name="OSRRefP16x_0" localSheetId="67">'325'!$P$17:$P$19</definedName>
    <definedName name="OSRRefP16x_0" localSheetId="59">'326'!$P$18:$P$20</definedName>
    <definedName name="OSRRefP16x_0" localSheetId="68">'327'!$P$18:$P$20</definedName>
    <definedName name="OSRRefP16x_0" localSheetId="52">'330'!$P$18:$P$27</definedName>
    <definedName name="OSRRefP16x_0" localSheetId="57">'331'!$P$19:$P$37</definedName>
    <definedName name="OSRRefP16x_0" localSheetId="50">'332'!$P$20</definedName>
    <definedName name="OSRRefP16x_0" localSheetId="72">'405'!$P$19:$P$21</definedName>
    <definedName name="OSRRefP16x_0" localSheetId="78">'415'!$P$19:$P$21</definedName>
    <definedName name="OSRRefP16x_0" localSheetId="79">'418'!$P$17:$P$18</definedName>
    <definedName name="OSRRefP16x_0" localSheetId="82">'425'!$P$15</definedName>
    <definedName name="OSRRefP16x_0" localSheetId="86">'433'!$P$19:$P$21</definedName>
    <definedName name="OSRRefP16x_0" localSheetId="87">'444'!$P$19:$P$21</definedName>
    <definedName name="OSRRefP16x_0" localSheetId="88">'450'!$P$19:$P$21</definedName>
    <definedName name="OSRRefP16x_0" localSheetId="71">'491'!$P$19:$P$21</definedName>
    <definedName name="OSRRefP16x_0" localSheetId="84">'492'!$P$19:$P$21</definedName>
    <definedName name="OSRRefP16x_0" localSheetId="47">'Div 3'!$P$23:$P$51</definedName>
    <definedName name="OSRRefP16x_0" localSheetId="69">'Div 4'!$P$21:$P$23</definedName>
    <definedName name="OSRRefP16x_0" localSheetId="61">'Div 6'!$P$19:$P$28</definedName>
    <definedName name="OSRRefP16x_0" localSheetId="2">Summary!$P$25:$P$59</definedName>
    <definedName name="OSRRefP22_0x_0" localSheetId="40">'200'!$P$20</definedName>
    <definedName name="OSRRefP22_0x_0" localSheetId="41">'201'!$P$20:$P$28</definedName>
    <definedName name="OSRRefP22_0x_0" localSheetId="42">'202'!$P$20:$P$28</definedName>
    <definedName name="OSRRefP22_0x_0" localSheetId="43">'203'!$P$20:$P$29</definedName>
    <definedName name="OSRRefP22_0x_0" localSheetId="44">'204'!$P$20:$P$28</definedName>
    <definedName name="OSRRefP22_0x_0" localSheetId="45">'205'!$P$20:$P$28</definedName>
    <definedName name="OSRRefP22_0x_0" localSheetId="46">'206'!$P$20:$P$28</definedName>
    <definedName name="OSRRefP22_0x_0" localSheetId="48">'300'!$P$53:$P$62</definedName>
    <definedName name="OSRRefP22_0x_0" localSheetId="49">'300 &amp; 317'!$P$59:$P$68</definedName>
    <definedName name="OSRRefP22_0x_0" localSheetId="51">'301'!$P$20:$P$29</definedName>
    <definedName name="OSRRefP22_0x_0" localSheetId="53">'307'!$P$33:$P$40</definedName>
    <definedName name="OSRRefP22_0x_0" localSheetId="54">'308'!$P$34:$P$43</definedName>
    <definedName name="OSRRefP22_0x_0" localSheetId="64">'309'!$P$20</definedName>
    <definedName name="OSRRefP22_0x_0" localSheetId="63">'310'!$P$27:$P$35</definedName>
    <definedName name="OSRRefP22_0x_0" localSheetId="70">'310 &amp; 491'!$P$29:$P$37</definedName>
    <definedName name="OSRRefP22_0x_0" localSheetId="55">'311'!$P$34:$P$43</definedName>
    <definedName name="OSRRefP22_0x_0" localSheetId="58">'315'!$P$43:$P$51</definedName>
    <definedName name="OSRRefP22_0x_0" localSheetId="60">'316'!$P$26:$P$34</definedName>
    <definedName name="OSRRefP22_0x_0" localSheetId="62">'317'!$P$34:$P$43</definedName>
    <definedName name="OSRRefP22_0x_0" localSheetId="65">'321'!$P$23:$P$31</definedName>
    <definedName name="OSRRefP22_0x_0" localSheetId="66">'322'!$P$20</definedName>
    <definedName name="OSRRefP22_0x_0" localSheetId="67">'325'!$P$25:$P$32</definedName>
    <definedName name="OSRRefP22_0x_0" localSheetId="59">'326'!$P$26:$P$34</definedName>
    <definedName name="OSRRefP22_0x_0" localSheetId="68">'327'!$P$26</definedName>
    <definedName name="OSRRefP22_0x_0" localSheetId="52">'330'!$P$33:$P$40</definedName>
    <definedName name="OSRRefP22_0x_0" localSheetId="57">'331'!$P$43:$P$51</definedName>
    <definedName name="OSRRefP22_0x_0" localSheetId="50">'332'!$P$26:$P$34</definedName>
    <definedName name="OSRRefP22_0x_0" localSheetId="72">'405'!$P$27:$P$35</definedName>
    <definedName name="OSRRefP22_0x_0" localSheetId="73">'406'!$P$20</definedName>
    <definedName name="OSRRefP22_0x_0" localSheetId="74">'411'!$P$20:$P$28</definedName>
    <definedName name="OSRRefP22_0x_0" localSheetId="75">'412'!$P$20</definedName>
    <definedName name="OSRRefP22_0x_0" localSheetId="76">'413'!$P$20</definedName>
    <definedName name="OSRRefP22_0x_0" localSheetId="77">'414'!$P$20</definedName>
    <definedName name="OSRRefP22_0x_0" localSheetId="78">'415'!$P$27:$P$35</definedName>
    <definedName name="OSRRefP22_0x_0" localSheetId="79">'418'!$P$24:$P$32</definedName>
    <definedName name="OSRRefP22_0x_0" localSheetId="80">'423'!$P$20:$P$27</definedName>
    <definedName name="OSRRefP22_0x_0" localSheetId="81">'424'!$P$20</definedName>
    <definedName name="OSRRefP22_0x_0" localSheetId="82">'425'!$P$21</definedName>
    <definedName name="OSRRefP22_0x_0" localSheetId="85">'430'!$P$20:$P$28</definedName>
    <definedName name="OSRRefP22_0x_0" localSheetId="86">'433'!$P$27:$P$36</definedName>
    <definedName name="OSRRefP22_0x_0" localSheetId="87">'444'!$P$27:$P$36</definedName>
    <definedName name="OSRRefP22_0x_0" localSheetId="88">'450'!$P$27:$P$36</definedName>
    <definedName name="OSRRefP22_0x_0" localSheetId="71">'491'!$P$27:$P$35</definedName>
    <definedName name="OSRRefP22_0x_0" localSheetId="84">'492'!$P$27:$P$36</definedName>
    <definedName name="OSRRefP22_0x_0" localSheetId="90">'501'!$P$21:$P$29</definedName>
    <definedName name="OSRRefP22_0x_0" localSheetId="39">'Div 2'!$P$20:$P$30</definedName>
    <definedName name="OSRRefP22_0x_0" localSheetId="47">'Div 3'!$P$57:$P$66</definedName>
    <definedName name="OSRRefP22_0x_0" localSheetId="69">'Div 4'!$P$29:$P$38</definedName>
    <definedName name="OSRRefP22_0x_0" localSheetId="89">'Div 5'!$P$21:$P$29</definedName>
    <definedName name="OSRRefP22_0x_0" localSheetId="61">'Div 6'!$P$34:$P$43</definedName>
    <definedName name="OSRRefP22_0x_0" localSheetId="2">Summary!$P$65:$P$74</definedName>
    <definedName name="OSRRefP22_10x_0" localSheetId="41">'201'!$P$59</definedName>
    <definedName name="OSRRefP22_10x_0" localSheetId="42">'202'!$P$59</definedName>
    <definedName name="OSRRefP22_10x_0" localSheetId="43">'203'!$P$61</definedName>
    <definedName name="OSRRefP22_10x_0" localSheetId="48">'300'!$P$93:$P$94</definedName>
    <definedName name="OSRRefP22_10x_0" localSheetId="49">'300 &amp; 317'!$P$99:$P$100</definedName>
    <definedName name="OSRRefP22_10x_0" localSheetId="51">'301'!$P$59</definedName>
    <definedName name="OSRRefP22_10x_0" localSheetId="53">'307'!$P$71:$P$72</definedName>
    <definedName name="OSRRefP22_10x_0" localSheetId="54">'308'!$P$74:$P$75</definedName>
    <definedName name="OSRRefP22_10x_0" localSheetId="63">'310'!$P$65:$P$67</definedName>
    <definedName name="OSRRefP22_10x_0" localSheetId="70">'310 &amp; 491'!$P$67</definedName>
    <definedName name="OSRRefP22_10x_0" localSheetId="55">'311'!$P$74:$P$75</definedName>
    <definedName name="OSRRefP22_10x_0" localSheetId="58">'315'!$P$81</definedName>
    <definedName name="OSRRefP22_10x_0" localSheetId="60">'316'!$P$68</definedName>
    <definedName name="OSRRefP22_10x_0" localSheetId="65">'321'!$P$64</definedName>
    <definedName name="OSRRefP22_10x_0" localSheetId="67">'325'!$P$62:$P$64</definedName>
    <definedName name="OSRRefP22_10x_0" localSheetId="59">'326'!$P$63</definedName>
    <definedName name="OSRRefP22_10x_0" localSheetId="52">'330'!$P$71:$P$72</definedName>
    <definedName name="OSRRefP22_10x_0" localSheetId="57">'331'!$P$82</definedName>
    <definedName name="OSRRefP22_10x_0" localSheetId="50">'332'!$P$68</definedName>
    <definedName name="OSRRefP22_10x_0" localSheetId="72">'405'!$P$66:$P$69</definedName>
    <definedName name="OSRRefP22_10x_0" localSheetId="74">'411'!$P$62</definedName>
    <definedName name="OSRRefP22_10x_0" localSheetId="78">'415'!$P$65:$P$66</definedName>
    <definedName name="OSRRefP22_10x_0" localSheetId="79">'418'!$P$66</definedName>
    <definedName name="OSRRefP22_10x_0" localSheetId="86">'433'!$P$65</definedName>
    <definedName name="OSRRefP22_10x_0" localSheetId="87">'444'!$P$65</definedName>
    <definedName name="OSRRefP22_10x_0" localSheetId="88">'450'!$P$65</definedName>
    <definedName name="OSRRefP22_10x_0" localSheetId="71">'491'!$P$65</definedName>
    <definedName name="OSRRefP22_10x_0" localSheetId="84">'492'!$P$65</definedName>
    <definedName name="OSRRefP22_10x_0" localSheetId="90">'501'!$P$61</definedName>
    <definedName name="OSRRefP22_10x_0" localSheetId="39">'Div 2'!$P$60</definedName>
    <definedName name="OSRRefP22_10x_0" localSheetId="47">'Div 3'!$P$97:$P$98</definedName>
    <definedName name="OSRRefP22_10x_0" localSheetId="69">'Div 4'!$P$68</definedName>
    <definedName name="OSRRefP22_10x_0" localSheetId="89">'Div 5'!$P$61</definedName>
    <definedName name="OSRRefP22_10x_0" localSheetId="2">Summary!$P$105:$P$106</definedName>
    <definedName name="OSRRefP22_11x_0" localSheetId="41">'201'!$P$61:$P$62</definedName>
    <definedName name="OSRRefP22_11x_0" localSheetId="42">'202'!$P$61</definedName>
    <definedName name="OSRRefP22_11x_0" localSheetId="43">'203'!$P$63:$P$66</definedName>
    <definedName name="OSRRefP22_11x_0" localSheetId="48">'300'!$P$96:$P$97</definedName>
    <definedName name="OSRRefP22_11x_0" localSheetId="49">'300 &amp; 317'!$P$102:$P$103</definedName>
    <definedName name="OSRRefP22_11x_0" localSheetId="51">'301'!$P$61</definedName>
    <definedName name="OSRRefP22_11x_0" localSheetId="53">'307'!$P$74:$P$76</definedName>
    <definedName name="OSRRefP22_11x_0" localSheetId="54">'308'!$P$77:$P$78</definedName>
    <definedName name="OSRRefP22_11x_0" localSheetId="63">'310'!$P$69</definedName>
    <definedName name="OSRRefP22_11x_0" localSheetId="70">'310 &amp; 491'!$P$69</definedName>
    <definedName name="OSRRefP22_11x_0" localSheetId="55">'311'!$P$77:$P$78</definedName>
    <definedName name="OSRRefP22_11x_0" localSheetId="58">'315'!$P$83:$P$84</definedName>
    <definedName name="OSRRefP22_11x_0" localSheetId="65">'321'!$P$66</definedName>
    <definedName name="OSRRefP22_11x_0" localSheetId="67">'325'!$P$66:$P$68</definedName>
    <definedName name="OSRRefP22_11x_0" localSheetId="59">'326'!$P$65:$P$66</definedName>
    <definedName name="OSRRefP22_11x_0" localSheetId="52">'330'!$P$74:$P$76</definedName>
    <definedName name="OSRRefP22_11x_0" localSheetId="57">'331'!$P$84</definedName>
    <definedName name="OSRRefP22_11x_0" localSheetId="72">'405'!$P$71</definedName>
    <definedName name="OSRRefP22_11x_0" localSheetId="74">'411'!$P$64</definedName>
    <definedName name="OSRRefP22_11x_0" localSheetId="78">'415'!$P$68:$P$71</definedName>
    <definedName name="OSRRefP22_11x_0" localSheetId="79">'418'!$P$68:$P$75</definedName>
    <definedName name="OSRRefP22_11x_0" localSheetId="86">'433'!$P$67:$P$69</definedName>
    <definedName name="OSRRefP22_11x_0" localSheetId="87">'444'!$P$67:$P$68</definedName>
    <definedName name="OSRRefP22_11x_0" localSheetId="88">'450'!$P$67:$P$69</definedName>
    <definedName name="OSRRefP22_11x_0" localSheetId="71">'491'!$P$67</definedName>
    <definedName name="OSRRefP22_11x_0" localSheetId="84">'492'!$P$67</definedName>
    <definedName name="OSRRefP22_11x_0" localSheetId="90">'501'!$P$63:$P$64</definedName>
    <definedName name="OSRRefP22_11x_0" localSheetId="39">'Div 2'!$P$62</definedName>
    <definedName name="OSRRefP22_11x_0" localSheetId="47">'Div 3'!$P$100:$P$101</definedName>
    <definedName name="OSRRefP22_11x_0" localSheetId="69">'Div 4'!$P$70</definedName>
    <definedName name="OSRRefP22_11x_0" localSheetId="89">'Div 5'!$P$63:$P$64</definedName>
    <definedName name="OSRRefP22_11x_0" localSheetId="2">Summary!$P$108:$P$109</definedName>
    <definedName name="OSRRefP22_12x_0" localSheetId="41">'201'!$P$64</definedName>
    <definedName name="OSRRefP22_12x_0" localSheetId="43">'203'!$P$68</definedName>
    <definedName name="OSRRefP22_12x_0" localSheetId="48">'300'!$P$99</definedName>
    <definedName name="OSRRefP22_12x_0" localSheetId="49">'300 &amp; 317'!$P$105</definedName>
    <definedName name="OSRRefP22_12x_0" localSheetId="51">'301'!$P$63</definedName>
    <definedName name="OSRRefP22_12x_0" localSheetId="53">'307'!$P$78</definedName>
    <definedName name="OSRRefP22_12x_0" localSheetId="63">'310'!$P$71:$P$73</definedName>
    <definedName name="OSRRefP22_12x_0" localSheetId="70">'310 &amp; 491'!$P$71:$P$73</definedName>
    <definedName name="OSRRefP22_12x_0" localSheetId="58">'315'!$P$86:$P$88</definedName>
    <definedName name="OSRRefP22_12x_0" localSheetId="67">'325'!$P$70:$P$74</definedName>
    <definedName name="OSRRefP22_12x_0" localSheetId="59">'326'!$P$68:$P$69</definedName>
    <definedName name="OSRRefP22_12x_0" localSheetId="52">'330'!$P$78</definedName>
    <definedName name="OSRRefP22_12x_0" localSheetId="57">'331'!$P$86</definedName>
    <definedName name="OSRRefP22_12x_0" localSheetId="72">'405'!$P$73:$P$80</definedName>
    <definedName name="OSRRefP22_12x_0" localSheetId="74">'411'!$P$66</definedName>
    <definedName name="OSRRefP22_12x_0" localSheetId="78">'415'!$P$73</definedName>
    <definedName name="OSRRefP22_12x_0" localSheetId="79">'418'!$P$77:$P$78</definedName>
    <definedName name="OSRRefP22_12x_0" localSheetId="86">'433'!$P$71:$P$74</definedName>
    <definedName name="OSRRefP22_12x_0" localSheetId="87">'444'!$P$70:$P$73</definedName>
    <definedName name="OSRRefP22_12x_0" localSheetId="88">'450'!$P$71:$P$74</definedName>
    <definedName name="OSRRefP22_12x_0" localSheetId="71">'491'!$P$69:$P$71</definedName>
    <definedName name="OSRRefP22_12x_0" localSheetId="84">'492'!$P$69:$P$71</definedName>
    <definedName name="OSRRefP22_12x_0" localSheetId="90">'501'!$P$66</definedName>
    <definedName name="OSRRefP22_12x_0" localSheetId="39">'Div 2'!$P$64:$P$67</definedName>
    <definedName name="OSRRefP22_12x_0" localSheetId="47">'Div 3'!$P$103</definedName>
    <definedName name="OSRRefP22_12x_0" localSheetId="69">'Div 4'!$P$72</definedName>
    <definedName name="OSRRefP22_12x_0" localSheetId="89">'Div 5'!$P$66</definedName>
    <definedName name="OSRRefP22_12x_0" localSheetId="2">Summary!$P$111</definedName>
    <definedName name="OSRRefP22_13x_0" localSheetId="43">'203'!$P$70</definedName>
    <definedName name="OSRRefP22_13x_0" localSheetId="48">'300'!$P$101</definedName>
    <definedName name="OSRRefP22_13x_0" localSheetId="49">'300 &amp; 317'!$P$107</definedName>
    <definedName name="OSRRefP22_13x_0" localSheetId="51">'301'!$P$65</definedName>
    <definedName name="OSRRefP22_13x_0" localSheetId="63">'310'!$P$75:$P$79</definedName>
    <definedName name="OSRRefP22_13x_0" localSheetId="70">'310 &amp; 491'!$P$75</definedName>
    <definedName name="OSRRefP22_13x_0" localSheetId="58">'315'!$P$90:$P$91</definedName>
    <definedName name="OSRRefP22_13x_0" localSheetId="67">'325'!$P$76:$P$77</definedName>
    <definedName name="OSRRefP22_13x_0" localSheetId="59">'326'!$P$71:$P$72</definedName>
    <definedName name="OSRRefP22_13x_0" localSheetId="57">'331'!$P$88:$P$89</definedName>
    <definedName name="OSRRefP22_13x_0" localSheetId="72">'405'!$P$82</definedName>
    <definedName name="OSRRefP22_13x_0" localSheetId="74">'411'!$P$68</definedName>
    <definedName name="OSRRefP22_13x_0" localSheetId="78">'415'!$P$75:$P$80</definedName>
    <definedName name="OSRRefP22_13x_0" localSheetId="79">'418'!$P$80</definedName>
    <definedName name="OSRRefP22_13x_0" localSheetId="86">'433'!$P$76:$P$83</definedName>
    <definedName name="OSRRefP22_13x_0" localSheetId="87">'444'!$P$75:$P$81</definedName>
    <definedName name="OSRRefP22_13x_0" localSheetId="88">'450'!$P$76:$P$82</definedName>
    <definedName name="OSRRefP22_13x_0" localSheetId="71">'491'!$P$73:$P$77</definedName>
    <definedName name="OSRRefP22_13x_0" localSheetId="84">'492'!$P$73:$P$76</definedName>
    <definedName name="OSRRefP22_13x_0" localSheetId="39">'Div 2'!$P$69:$P$72</definedName>
    <definedName name="OSRRefP22_13x_0" localSheetId="47">'Div 3'!$P$105</definedName>
    <definedName name="OSRRefP22_13x_0" localSheetId="69">'Div 4'!$P$74</definedName>
    <definedName name="OSRRefP22_13x_0" localSheetId="2">Summary!$P$113</definedName>
    <definedName name="OSRRefP22_14x_0" localSheetId="48">'300'!$P$103</definedName>
    <definedName name="OSRRefP22_14x_0" localSheetId="49">'300 &amp; 317'!$P$109</definedName>
    <definedName name="OSRRefP22_14x_0" localSheetId="51">'301'!$P$67:$P$70</definedName>
    <definedName name="OSRRefP22_14x_0" localSheetId="63">'310'!$P$81:$P$82</definedName>
    <definedName name="OSRRefP22_14x_0" localSheetId="70">'310 &amp; 491'!$P$77:$P$81</definedName>
    <definedName name="OSRRefP22_14x_0" localSheetId="58">'315'!$P$93:$P$95</definedName>
    <definedName name="OSRRefP22_14x_0" localSheetId="67">'325'!$P$79</definedName>
    <definedName name="OSRRefP22_14x_0" localSheetId="59">'326'!$P$74:$P$76</definedName>
    <definedName name="OSRRefP22_14x_0" localSheetId="57">'331'!$P$91:$P$93</definedName>
    <definedName name="OSRRefP22_14x_0" localSheetId="72">'405'!$P$84</definedName>
    <definedName name="OSRRefP22_14x_0" localSheetId="78">'415'!$P$82:$P$83</definedName>
    <definedName name="OSRRefP22_14x_0" localSheetId="79">'418'!$P$82</definedName>
    <definedName name="OSRRefP22_14x_0" localSheetId="86">'433'!$P$85</definedName>
    <definedName name="OSRRefP22_14x_0" localSheetId="87">'444'!$P$83</definedName>
    <definedName name="OSRRefP22_14x_0" localSheetId="88">'450'!$P$84</definedName>
    <definedName name="OSRRefP22_14x_0" localSheetId="71">'491'!$P$79</definedName>
    <definedName name="OSRRefP22_14x_0" localSheetId="84">'492'!$P$78:$P$85</definedName>
    <definedName name="OSRRefP22_14x_0" localSheetId="39">'Div 2'!$P$74:$P$75</definedName>
    <definedName name="OSRRefP22_14x_0" localSheetId="47">'Div 3'!$P$107</definedName>
    <definedName name="OSRRefP22_14x_0" localSheetId="69">'Div 4'!$P$76:$P$78</definedName>
    <definedName name="OSRRefP22_14x_0" localSheetId="2">Summary!$P$115</definedName>
    <definedName name="OSRRefP22_15x_0" localSheetId="48">'300'!$P$105</definedName>
    <definedName name="OSRRefP22_15x_0" localSheetId="49">'300 &amp; 317'!$P$111</definedName>
    <definedName name="OSRRefP22_15x_0" localSheetId="51">'301'!$P$72:$P$73</definedName>
    <definedName name="OSRRefP22_15x_0" localSheetId="63">'310'!$P$84</definedName>
    <definedName name="OSRRefP22_15x_0" localSheetId="70">'310 &amp; 491'!$P$83</definedName>
    <definedName name="OSRRefP22_15x_0" localSheetId="58">'315'!$P$97</definedName>
    <definedName name="OSRRefP22_15x_0" localSheetId="59">'326'!$P$78</definedName>
    <definedName name="OSRRefP22_15x_0" localSheetId="57">'331'!$P$95:$P$96</definedName>
    <definedName name="OSRRefP22_15x_0" localSheetId="72">'405'!$P$86</definedName>
    <definedName name="OSRRefP22_15x_0" localSheetId="78">'415'!$P$85</definedName>
    <definedName name="OSRRefP22_15x_0" localSheetId="87">'444'!$P$85</definedName>
    <definedName name="OSRRefP22_15x_0" localSheetId="88">'450'!$P$86</definedName>
    <definedName name="OSRRefP22_15x_0" localSheetId="71">'491'!$P$81:$P$89</definedName>
    <definedName name="OSRRefP22_15x_0" localSheetId="84">'492'!$P$87:$P$88</definedName>
    <definedName name="OSRRefP22_15x_0" localSheetId="39">'Div 2'!$P$77</definedName>
    <definedName name="OSRRefP22_15x_0" localSheetId="47">'Div 3'!$P$109</definedName>
    <definedName name="OSRRefP22_15x_0" localSheetId="69">'Div 4'!$P$80:$P$84</definedName>
    <definedName name="OSRRefP22_15x_0" localSheetId="2">Summary!$P$117</definedName>
    <definedName name="OSRRefP22_16x_0" localSheetId="48">'300'!$P$107:$P$110</definedName>
    <definedName name="OSRRefP22_16x_0" localSheetId="49">'300 &amp; 317'!$P$113:$P$116</definedName>
    <definedName name="OSRRefP22_16x_0" localSheetId="51">'301'!$P$75</definedName>
    <definedName name="OSRRefP22_16x_0" localSheetId="63">'310'!$P$86</definedName>
    <definedName name="OSRRefP22_16x_0" localSheetId="70">'310 &amp; 491'!$P$85:$P$94</definedName>
    <definedName name="OSRRefP22_16x_0" localSheetId="58">'315'!$P$99</definedName>
    <definedName name="OSRRefP22_16x_0" localSheetId="59">'326'!$P$80:$P$81</definedName>
    <definedName name="OSRRefP22_16x_0" localSheetId="57">'331'!$P$98:$P$99</definedName>
    <definedName name="OSRRefP22_16x_0" localSheetId="78">'415'!$P$87</definedName>
    <definedName name="OSRRefP22_16x_0" localSheetId="88">'450'!$P$88</definedName>
    <definedName name="OSRRefP22_16x_0" localSheetId="71">'491'!$P$91:$P$92</definedName>
    <definedName name="OSRRefP22_16x_0" localSheetId="84">'492'!$P$90</definedName>
    <definedName name="OSRRefP22_16x_0" localSheetId="39">'Div 2'!$P$79:$P$84</definedName>
    <definedName name="OSRRefP22_16x_0" localSheetId="47">'Div 3'!$P$111</definedName>
    <definedName name="OSRRefP22_16x_0" localSheetId="69">'Div 4'!$P$86</definedName>
    <definedName name="OSRRefP22_16x_0" localSheetId="2">Summary!$P$119</definedName>
    <definedName name="OSRRefP22_17x_0" localSheetId="48">'300'!$P$112:$P$115</definedName>
    <definedName name="OSRRefP22_17x_0" localSheetId="49">'300 &amp; 317'!$P$118:$P$121</definedName>
    <definedName name="OSRRefP22_17x_0" localSheetId="51">'301'!$P$77:$P$82</definedName>
    <definedName name="OSRRefP22_17x_0" localSheetId="70">'310 &amp; 491'!$P$96:$P$97</definedName>
    <definedName name="OSRRefP22_17x_0" localSheetId="59">'326'!$P$83</definedName>
    <definedName name="OSRRefP22_17x_0" localSheetId="57">'331'!$P$101:$P$104</definedName>
    <definedName name="OSRRefP22_17x_0" localSheetId="71">'491'!$P$94</definedName>
    <definedName name="OSRRefP22_17x_0" localSheetId="84">'492'!$P$92:$P$93</definedName>
    <definedName name="OSRRefP22_17x_0" localSheetId="39">'Div 2'!$P$86:$P$87</definedName>
    <definedName name="OSRRefP22_17x_0" localSheetId="47">'Div 3'!$P$113:$P$116</definedName>
    <definedName name="OSRRefP22_17x_0" localSheetId="69">'Div 4'!$P$88:$P$97</definedName>
    <definedName name="OSRRefP22_17x_0" localSheetId="2">Summary!$P$121</definedName>
    <definedName name="OSRRefP22_18x_0" localSheetId="48">'300'!$P$117:$P$119</definedName>
    <definedName name="OSRRefP22_18x_0" localSheetId="49">'300 &amp; 317'!$P$123:$P$125</definedName>
    <definedName name="OSRRefP22_18x_0" localSheetId="51">'301'!$P$84</definedName>
    <definedName name="OSRRefP22_18x_0" localSheetId="70">'310 &amp; 491'!$P$99</definedName>
    <definedName name="OSRRefP22_18x_0" localSheetId="57">'331'!$P$106</definedName>
    <definedName name="OSRRefP22_18x_0" localSheetId="71">'491'!$P$96</definedName>
    <definedName name="OSRRefP22_18x_0" localSheetId="39">'Div 2'!$P$89</definedName>
    <definedName name="OSRRefP22_18x_0" localSheetId="47">'Div 3'!$P$118:$P$121</definedName>
    <definedName name="OSRRefP22_18x_0" localSheetId="69">'Div 4'!$P$99:$P$100</definedName>
    <definedName name="OSRRefP22_18x_0" localSheetId="2">Summary!$P$123:$P$126</definedName>
    <definedName name="OSRRefP22_19x_0" localSheetId="48">'300'!$P$121:$P$122</definedName>
    <definedName name="OSRRefP22_19x_0" localSheetId="49">'300 &amp; 317'!$P$127:$P$128</definedName>
    <definedName name="OSRRefP22_19x_0" localSheetId="51">'301'!$P$86</definedName>
    <definedName name="OSRRefP22_19x_0" localSheetId="70">'310 &amp; 491'!$P$101</definedName>
    <definedName name="OSRRefP22_19x_0" localSheetId="57">'331'!$P$108:$P$109</definedName>
    <definedName name="OSRRefP22_19x_0" localSheetId="39">'Div 2'!$P$91</definedName>
    <definedName name="OSRRefP22_19x_0" localSheetId="47">'Div 3'!$P$123:$P$126</definedName>
    <definedName name="OSRRefP22_19x_0" localSheetId="69">'Div 4'!$P$102</definedName>
    <definedName name="OSRRefP22_19x_0" localSheetId="2">Summary!$P$128:$P$131</definedName>
    <definedName name="OSRRefP22_1x_0" localSheetId="40">'200'!$P$22</definedName>
    <definedName name="OSRRefP22_1x_0" localSheetId="41">'201'!$P$30:$P$39</definedName>
    <definedName name="OSRRefP22_1x_0" localSheetId="42">'202'!$P$30:$P$39</definedName>
    <definedName name="OSRRefP22_1x_0" localSheetId="43">'203'!$P$31:$P$40</definedName>
    <definedName name="OSRRefP22_1x_0" localSheetId="44">'204'!$P$30:$P$39</definedName>
    <definedName name="OSRRefP22_1x_0" localSheetId="45">'205'!$P$30:$P$39</definedName>
    <definedName name="OSRRefP22_1x_0" localSheetId="46">'206'!$P$30:$P$39</definedName>
    <definedName name="OSRRefP22_1x_0" localSheetId="48">'300'!$P$64:$P$73</definedName>
    <definedName name="OSRRefP22_1x_0" localSheetId="49">'300 &amp; 317'!$P$70:$P$79</definedName>
    <definedName name="OSRRefP22_1x_0" localSheetId="51">'301'!$P$31:$P$40</definedName>
    <definedName name="OSRRefP22_1x_0" localSheetId="53">'307'!$P$42:$P$51</definedName>
    <definedName name="OSRRefP22_1x_0" localSheetId="54">'308'!$P$45:$P$54</definedName>
    <definedName name="OSRRefP22_1x_0" localSheetId="64">'309'!$P$22</definedName>
    <definedName name="OSRRefP22_1x_0" localSheetId="63">'310'!$P$37:$P$46</definedName>
    <definedName name="OSRRefP22_1x_0" localSheetId="70">'310 &amp; 491'!$P$39:$P$48</definedName>
    <definedName name="OSRRefP22_1x_0" localSheetId="55">'311'!$P$45:$P$54</definedName>
    <definedName name="OSRRefP22_1x_0" localSheetId="58">'315'!$P$53:$P$62</definedName>
    <definedName name="OSRRefP22_1x_0" localSheetId="60">'316'!$P$36:$P$45</definedName>
    <definedName name="OSRRefP22_1x_0" localSheetId="62">'317'!$P$45:$P$54</definedName>
    <definedName name="OSRRefP22_1x_0" localSheetId="65">'321'!$P$33:$P$42</definedName>
    <definedName name="OSRRefP22_1x_0" localSheetId="67">'325'!$P$34:$P$43</definedName>
    <definedName name="OSRRefP22_1x_0" localSheetId="59">'326'!$P$36:$P$45</definedName>
    <definedName name="OSRRefP22_1x_0" localSheetId="52">'330'!$P$42:$P$51</definedName>
    <definedName name="OSRRefP22_1x_0" localSheetId="57">'331'!$P$53:$P$62</definedName>
    <definedName name="OSRRefP22_1x_0" localSheetId="50">'332'!$P$36:$P$45</definedName>
    <definedName name="OSRRefP22_1x_0" localSheetId="72">'405'!$P$37:$P$46</definedName>
    <definedName name="OSRRefP22_1x_0" localSheetId="73">'406'!$P$22</definedName>
    <definedName name="OSRRefP22_1x_0" localSheetId="74">'411'!$P$30:$P$39</definedName>
    <definedName name="OSRRefP22_1x_0" localSheetId="75">'412'!$P$22</definedName>
    <definedName name="OSRRefP22_1x_0" localSheetId="76">'413'!$P$22</definedName>
    <definedName name="OSRRefP22_1x_0" localSheetId="77">'414'!$P$22</definedName>
    <definedName name="OSRRefP22_1x_0" localSheetId="78">'415'!$P$37:$P$46</definedName>
    <definedName name="OSRRefP22_1x_0" localSheetId="79">'418'!$P$34:$P$43</definedName>
    <definedName name="OSRRefP22_1x_0" localSheetId="80">'423'!$P$29:$P$38</definedName>
    <definedName name="OSRRefP22_1x_0" localSheetId="81">'424'!$P$22</definedName>
    <definedName name="OSRRefP22_1x_0" localSheetId="82">'425'!$P$23</definedName>
    <definedName name="OSRRefP22_1x_0" localSheetId="85">'430'!$P$30:$P$39</definedName>
    <definedName name="OSRRefP22_1x_0" localSheetId="86">'433'!$P$38:$P$47</definedName>
    <definedName name="OSRRefP22_1x_0" localSheetId="87">'444'!$P$38:$P$47</definedName>
    <definedName name="OSRRefP22_1x_0" localSheetId="88">'450'!$P$38:$P$47</definedName>
    <definedName name="OSRRefP22_1x_0" localSheetId="71">'491'!$P$37:$P$46</definedName>
    <definedName name="OSRRefP22_1x_0" localSheetId="84">'492'!$P$38:$P$47</definedName>
    <definedName name="OSRRefP22_1x_0" localSheetId="90">'501'!$P$31:$P$40</definedName>
    <definedName name="OSRRefP22_1x_0" localSheetId="39">'Div 2'!$P$32:$P$41</definedName>
    <definedName name="OSRRefP22_1x_0" localSheetId="47">'Div 3'!$P$68:$P$77</definedName>
    <definedName name="OSRRefP22_1x_0" localSheetId="69">'Div 4'!$P$40:$P$49</definedName>
    <definedName name="OSRRefP22_1x_0" localSheetId="89">'Div 5'!$P$31:$P$40</definedName>
    <definedName name="OSRRefP22_1x_0" localSheetId="61">'Div 6'!$P$45:$P$54</definedName>
    <definedName name="OSRRefP22_1x_0" localSheetId="2">Summary!$P$76:$P$85</definedName>
    <definedName name="OSRRefP22_20x_0" localSheetId="48">'300'!$P$124:$P$130</definedName>
    <definedName name="OSRRefP22_20x_0" localSheetId="49">'300 &amp; 317'!$P$130:$P$136</definedName>
    <definedName name="OSRRefP22_20x_0" localSheetId="51">'301'!$P$88</definedName>
    <definedName name="OSRRefP22_20x_0" localSheetId="57">'331'!$P$111</definedName>
    <definedName name="OSRRefP22_20x_0" localSheetId="47">'Div 3'!$P$128:$P$129</definedName>
    <definedName name="OSRRefP22_20x_0" localSheetId="69">'Div 4'!$P$104:$P$105</definedName>
    <definedName name="OSRRefP22_20x_0" localSheetId="2">Summary!$P$133:$P$137</definedName>
    <definedName name="OSRRefP22_21x_0" localSheetId="48">'300'!$P$132:$P$133</definedName>
    <definedName name="OSRRefP22_21x_0" localSheetId="49">'300 &amp; 317'!$P$138:$P$139</definedName>
    <definedName name="OSRRefP22_21x_0" localSheetId="51">'301'!$P$90</definedName>
    <definedName name="OSRRefP22_21x_0" localSheetId="47">'Div 3'!$P$131:$P$137</definedName>
    <definedName name="OSRRefP22_21x_0" localSheetId="69">'Div 4'!$P$107</definedName>
    <definedName name="OSRRefP22_21x_0" localSheetId="2">Summary!$P$139:$P$140</definedName>
    <definedName name="OSRRefP22_22x_0" localSheetId="48">'300'!$P$135</definedName>
    <definedName name="OSRRefP22_22x_0" localSheetId="49">'300 &amp; 317'!$P$141</definedName>
    <definedName name="OSRRefP22_22x_0" localSheetId="47">'Div 3'!$P$139:$P$140</definedName>
    <definedName name="OSRRefP22_22x_0" localSheetId="2">Summary!$P$142:$P$151</definedName>
    <definedName name="OSRRefP22_23x_0" localSheetId="48">'300'!$P$137:$P$139</definedName>
    <definedName name="OSRRefP22_23x_0" localSheetId="49">'300 &amp; 317'!$P$143:$P$145</definedName>
    <definedName name="OSRRefP22_23x_0" localSheetId="47">'Div 3'!$P$142</definedName>
    <definedName name="OSRRefP22_23x_0" localSheetId="2">Summary!$P$153:$P$154</definedName>
    <definedName name="OSRRefP22_24x_0" localSheetId="48">'300'!$P$141</definedName>
    <definedName name="OSRRefP22_24x_0" localSheetId="49">'300 &amp; 317'!$P$147</definedName>
    <definedName name="OSRRefP22_24x_0" localSheetId="47">'Div 3'!$P$144:$P$146</definedName>
    <definedName name="OSRRefP22_24x_0" localSheetId="2">Summary!$P$156</definedName>
    <definedName name="OSRRefP22_25x_0" localSheetId="47">'Div 3'!$P$148</definedName>
    <definedName name="OSRRefP22_25x_0" localSheetId="2">Summary!$P$158:$P$160</definedName>
    <definedName name="OSRRefP22_26x_0" localSheetId="2">Summary!$P$162</definedName>
    <definedName name="OSRRefP22_2x_0" localSheetId="40">'200'!$P$24</definedName>
    <definedName name="OSRRefP22_2x_0" localSheetId="41">'201'!$P$41</definedName>
    <definedName name="OSRRefP22_2x_0" localSheetId="42">'202'!$P$41</definedName>
    <definedName name="OSRRefP22_2x_0" localSheetId="43">'203'!$P$42</definedName>
    <definedName name="OSRRefP22_2x_0" localSheetId="44">'204'!$P$41</definedName>
    <definedName name="OSRRefP22_2x_0" localSheetId="45">'205'!$P$41</definedName>
    <definedName name="OSRRefP22_2x_0" localSheetId="46">'206'!$P$41</definedName>
    <definedName name="OSRRefP22_2x_0" localSheetId="48">'300'!$P$75</definedName>
    <definedName name="OSRRefP22_2x_0" localSheetId="49">'300 &amp; 317'!$P$81</definedName>
    <definedName name="OSRRefP22_2x_0" localSheetId="51">'301'!$P$42</definedName>
    <definedName name="OSRRefP22_2x_0" localSheetId="53">'307'!$P$53</definedName>
    <definedName name="OSRRefP22_2x_0" localSheetId="54">'308'!$P$56</definedName>
    <definedName name="OSRRefP22_2x_0" localSheetId="64">'309'!$P$24:$P$25</definedName>
    <definedName name="OSRRefP22_2x_0" localSheetId="63">'310'!$P$48</definedName>
    <definedName name="OSRRefP22_2x_0" localSheetId="70">'310 &amp; 491'!$P$50</definedName>
    <definedName name="OSRRefP22_2x_0" localSheetId="55">'311'!$P$56</definedName>
    <definedName name="OSRRefP22_2x_0" localSheetId="58">'315'!$P$64</definedName>
    <definedName name="OSRRefP22_2x_0" localSheetId="60">'316'!$P$47</definedName>
    <definedName name="OSRRefP22_2x_0" localSheetId="62">'317'!$P$56</definedName>
    <definedName name="OSRRefP22_2x_0" localSheetId="65">'321'!$P$44</definedName>
    <definedName name="OSRRefP22_2x_0" localSheetId="67">'325'!$P$45</definedName>
    <definedName name="OSRRefP22_2x_0" localSheetId="59">'326'!$P$47</definedName>
    <definedName name="OSRRefP22_2x_0" localSheetId="52">'330'!$P$53</definedName>
    <definedName name="OSRRefP22_2x_0" localSheetId="57">'331'!$P$64</definedName>
    <definedName name="OSRRefP22_2x_0" localSheetId="50">'332'!$P$47</definedName>
    <definedName name="OSRRefP22_2x_0" localSheetId="72">'405'!$P$48</definedName>
    <definedName name="OSRRefP22_2x_0" localSheetId="74">'411'!$P$41</definedName>
    <definedName name="OSRRefP22_2x_0" localSheetId="75">'412'!$P$24</definedName>
    <definedName name="OSRRefP22_2x_0" localSheetId="76">'413'!$P$24</definedName>
    <definedName name="OSRRefP22_2x_0" localSheetId="78">'415'!$P$48</definedName>
    <definedName name="OSRRefP22_2x_0" localSheetId="79">'418'!$P$45</definedName>
    <definedName name="OSRRefP22_2x_0" localSheetId="80">'423'!$P$40</definedName>
    <definedName name="OSRRefP22_2x_0" localSheetId="85">'430'!$P$41</definedName>
    <definedName name="OSRRefP22_2x_0" localSheetId="86">'433'!$P$49</definedName>
    <definedName name="OSRRefP22_2x_0" localSheetId="87">'444'!$P$49</definedName>
    <definedName name="OSRRefP22_2x_0" localSheetId="88">'450'!$P$49</definedName>
    <definedName name="OSRRefP22_2x_0" localSheetId="71">'491'!$P$48</definedName>
    <definedName name="OSRRefP22_2x_0" localSheetId="84">'492'!$P$49</definedName>
    <definedName name="OSRRefP22_2x_0" localSheetId="90">'501'!$P$42</definedName>
    <definedName name="OSRRefP22_2x_0" localSheetId="39">'Div 2'!$P$43</definedName>
    <definedName name="OSRRefP22_2x_0" localSheetId="47">'Div 3'!$P$79</definedName>
    <definedName name="OSRRefP22_2x_0" localSheetId="69">'Div 4'!$P$51</definedName>
    <definedName name="OSRRefP22_2x_0" localSheetId="89">'Div 5'!$P$42</definedName>
    <definedName name="OSRRefP22_2x_0" localSheetId="61">'Div 6'!$P$56</definedName>
    <definedName name="OSRRefP22_2x_0" localSheetId="2">Summary!$P$87</definedName>
    <definedName name="OSRRefP22_3x_0" localSheetId="40">'200'!$P$26:$P$27</definedName>
    <definedName name="OSRRefP22_3x_0" localSheetId="41">'201'!$P$43</definedName>
    <definedName name="OSRRefP22_3x_0" localSheetId="42">'202'!$P$43</definedName>
    <definedName name="OSRRefP22_3x_0" localSheetId="43">'203'!$P$44</definedName>
    <definedName name="OSRRefP22_3x_0" localSheetId="44">'204'!$P$43:$P$44</definedName>
    <definedName name="OSRRefP22_3x_0" localSheetId="45">'205'!$P$43</definedName>
    <definedName name="OSRRefP22_3x_0" localSheetId="46">'206'!$P$43</definedName>
    <definedName name="OSRRefP22_3x_0" localSheetId="48">'300'!$P$77</definedName>
    <definedName name="OSRRefP22_3x_0" localSheetId="49">'300 &amp; 317'!$P$83</definedName>
    <definedName name="OSRRefP22_3x_0" localSheetId="51">'301'!$P$44</definedName>
    <definedName name="OSRRefP22_3x_0" localSheetId="53">'307'!$P$55</definedName>
    <definedName name="OSRRefP22_3x_0" localSheetId="54">'308'!$P$58</definedName>
    <definedName name="OSRRefP22_3x_0" localSheetId="64">'309'!$P$27</definedName>
    <definedName name="OSRRefP22_3x_0" localSheetId="63">'310'!$P$50</definedName>
    <definedName name="OSRRefP22_3x_0" localSheetId="70">'310 &amp; 491'!$P$52</definedName>
    <definedName name="OSRRefP22_3x_0" localSheetId="55">'311'!$P$58</definedName>
    <definedName name="OSRRefP22_3x_0" localSheetId="58">'315'!$P$66</definedName>
    <definedName name="OSRRefP22_3x_0" localSheetId="60">'316'!$P$49</definedName>
    <definedName name="OSRRefP22_3x_0" localSheetId="62">'317'!$P$58</definedName>
    <definedName name="OSRRefP22_3x_0" localSheetId="65">'321'!$P$46</definedName>
    <definedName name="OSRRefP22_3x_0" localSheetId="67">'325'!$P$47</definedName>
    <definedName name="OSRRefP22_3x_0" localSheetId="59">'326'!$P$49</definedName>
    <definedName name="OSRRefP22_3x_0" localSheetId="52">'330'!$P$55</definedName>
    <definedName name="OSRRefP22_3x_0" localSheetId="57">'331'!$P$66</definedName>
    <definedName name="OSRRefP22_3x_0" localSheetId="50">'332'!$P$49</definedName>
    <definedName name="OSRRefP22_3x_0" localSheetId="72">'405'!$P$50</definedName>
    <definedName name="OSRRefP22_3x_0" localSheetId="74">'411'!$P$43:$P$44</definedName>
    <definedName name="OSRRefP22_3x_0" localSheetId="75">'412'!$P$26</definedName>
    <definedName name="OSRRefP22_3x_0" localSheetId="78">'415'!$P$50</definedName>
    <definedName name="OSRRefP22_3x_0" localSheetId="79">'418'!$P$47</definedName>
    <definedName name="OSRRefP22_3x_0" localSheetId="80">'423'!$P$42</definedName>
    <definedName name="OSRRefP22_3x_0" localSheetId="85">'430'!$P$43</definedName>
    <definedName name="OSRRefP22_3x_0" localSheetId="86">'433'!$P$51</definedName>
    <definedName name="OSRRefP22_3x_0" localSheetId="87">'444'!$P$51</definedName>
    <definedName name="OSRRefP22_3x_0" localSheetId="88">'450'!$P$51</definedName>
    <definedName name="OSRRefP22_3x_0" localSheetId="71">'491'!$P$50</definedName>
    <definedName name="OSRRefP22_3x_0" localSheetId="84">'492'!$P$51</definedName>
    <definedName name="OSRRefP22_3x_0" localSheetId="90">'501'!$P$44</definedName>
    <definedName name="OSRRefP22_3x_0" localSheetId="39">'Div 2'!$P$45</definedName>
    <definedName name="OSRRefP22_3x_0" localSheetId="47">'Div 3'!$P$81</definedName>
    <definedName name="OSRRefP22_3x_0" localSheetId="69">'Div 4'!$P$53</definedName>
    <definedName name="OSRRefP22_3x_0" localSheetId="89">'Div 5'!$P$44</definedName>
    <definedName name="OSRRefP22_3x_0" localSheetId="61">'Div 6'!$P$58</definedName>
    <definedName name="OSRRefP22_3x_0" localSheetId="2">Summary!$P$89</definedName>
    <definedName name="OSRRefP22_4x_0" localSheetId="41">'201'!$P$45</definedName>
    <definedName name="OSRRefP22_4x_0" localSheetId="42">'202'!$P$45</definedName>
    <definedName name="OSRRefP22_4x_0" localSheetId="43">'203'!$P$46</definedName>
    <definedName name="OSRRefP22_4x_0" localSheetId="44">'204'!$P$46</definedName>
    <definedName name="OSRRefP22_4x_0" localSheetId="45">'205'!$P$45:$P$46</definedName>
    <definedName name="OSRRefP22_4x_0" localSheetId="46">'206'!$P$45:$P$46</definedName>
    <definedName name="OSRRefP22_4x_0" localSheetId="48">'300'!$P$79</definedName>
    <definedName name="OSRRefP22_4x_0" localSheetId="49">'300 &amp; 317'!$P$85</definedName>
    <definedName name="OSRRefP22_4x_0" localSheetId="51">'301'!$P$46</definedName>
    <definedName name="OSRRefP22_4x_0" localSheetId="53">'307'!$P$57</definedName>
    <definedName name="OSRRefP22_4x_0" localSheetId="54">'308'!$P$60</definedName>
    <definedName name="OSRRefP22_4x_0" localSheetId="63">'310'!$P$52</definedName>
    <definedName name="OSRRefP22_4x_0" localSheetId="70">'310 &amp; 491'!$P$54</definedName>
    <definedName name="OSRRefP22_4x_0" localSheetId="55">'311'!$P$60</definedName>
    <definedName name="OSRRefP22_4x_0" localSheetId="58">'315'!$P$68</definedName>
    <definedName name="OSRRefP22_4x_0" localSheetId="60">'316'!$P$51</definedName>
    <definedName name="OSRRefP22_4x_0" localSheetId="62">'317'!$P$60</definedName>
    <definedName name="OSRRefP22_4x_0" localSheetId="65">'321'!$P$48</definedName>
    <definedName name="OSRRefP22_4x_0" localSheetId="67">'325'!$P$49</definedName>
    <definedName name="OSRRefP22_4x_0" localSheetId="59">'326'!$P$51</definedName>
    <definedName name="OSRRefP22_4x_0" localSheetId="52">'330'!$P$57</definedName>
    <definedName name="OSRRefP22_4x_0" localSheetId="57">'331'!$P$68</definedName>
    <definedName name="OSRRefP22_4x_0" localSheetId="50">'332'!$P$51</definedName>
    <definedName name="OSRRefP22_4x_0" localSheetId="72">'405'!$P$52</definedName>
    <definedName name="OSRRefP22_4x_0" localSheetId="74">'411'!$P$46</definedName>
    <definedName name="OSRRefP22_4x_0" localSheetId="78">'415'!$P$52</definedName>
    <definedName name="OSRRefP22_4x_0" localSheetId="79">'418'!$P$49:$P$50</definedName>
    <definedName name="OSRRefP22_4x_0" localSheetId="80">'423'!$P$44</definedName>
    <definedName name="OSRRefP22_4x_0" localSheetId="85">'430'!$P$45:$P$46</definedName>
    <definedName name="OSRRefP22_4x_0" localSheetId="86">'433'!$P$53</definedName>
    <definedName name="OSRRefP22_4x_0" localSheetId="87">'444'!$P$53</definedName>
    <definedName name="OSRRefP22_4x_0" localSheetId="88">'450'!$P$53</definedName>
    <definedName name="OSRRefP22_4x_0" localSheetId="71">'491'!$P$52</definedName>
    <definedName name="OSRRefP22_4x_0" localSheetId="84">'492'!$P$53</definedName>
    <definedName name="OSRRefP22_4x_0" localSheetId="90">'501'!$P$46</definedName>
    <definedName name="OSRRefP22_4x_0" localSheetId="39">'Div 2'!$P$47</definedName>
    <definedName name="OSRRefP22_4x_0" localSheetId="47">'Div 3'!$P$83</definedName>
    <definedName name="OSRRefP22_4x_0" localSheetId="69">'Div 4'!$P$55</definedName>
    <definedName name="OSRRefP22_4x_0" localSheetId="89">'Div 5'!$P$46</definedName>
    <definedName name="OSRRefP22_4x_0" localSheetId="61">'Div 6'!$P$60</definedName>
    <definedName name="OSRRefP22_4x_0" localSheetId="2">Summary!$P$91</definedName>
    <definedName name="OSRRefP22_5x_0" localSheetId="41">'201'!$P$47</definedName>
    <definedName name="OSRRefP22_5x_0" localSheetId="42">'202'!$P$47</definedName>
    <definedName name="OSRRefP22_5x_0" localSheetId="43">'203'!$P$48</definedName>
    <definedName name="OSRRefP22_5x_0" localSheetId="44">'204'!$P$48:$P$51</definedName>
    <definedName name="OSRRefP22_5x_0" localSheetId="45">'205'!$P$48</definedName>
    <definedName name="OSRRefP22_5x_0" localSheetId="46">'206'!$P$48</definedName>
    <definedName name="OSRRefP22_5x_0" localSheetId="48">'300'!$P$81:$P$82</definedName>
    <definedName name="OSRRefP22_5x_0" localSheetId="49">'300 &amp; 317'!$P$87:$P$88</definedName>
    <definedName name="OSRRefP22_5x_0" localSheetId="51">'301'!$P$48:$P$49</definedName>
    <definedName name="OSRRefP22_5x_0" localSheetId="53">'307'!$P$59:$P$60</definedName>
    <definedName name="OSRRefP22_5x_0" localSheetId="54">'308'!$P$62</definedName>
    <definedName name="OSRRefP22_5x_0" localSheetId="63">'310'!$P$54:$P$55</definedName>
    <definedName name="OSRRefP22_5x_0" localSheetId="70">'310 &amp; 491'!$P$56:$P$57</definedName>
    <definedName name="OSRRefP22_5x_0" localSheetId="55">'311'!$P$62</definedName>
    <definedName name="OSRRefP22_5x_0" localSheetId="58">'315'!$P$70</definedName>
    <definedName name="OSRRefP22_5x_0" localSheetId="60">'316'!$P$53:$P$54</definedName>
    <definedName name="OSRRefP22_5x_0" localSheetId="62">'317'!$P$62</definedName>
    <definedName name="OSRRefP22_5x_0" localSheetId="65">'321'!$P$50</definedName>
    <definedName name="OSRRefP22_5x_0" localSheetId="67">'325'!$P$51:$P$52</definedName>
    <definedName name="OSRRefP22_5x_0" localSheetId="59">'326'!$P$53</definedName>
    <definedName name="OSRRefP22_5x_0" localSheetId="52">'330'!$P$59:$P$60</definedName>
    <definedName name="OSRRefP22_5x_0" localSheetId="57">'331'!$P$70</definedName>
    <definedName name="OSRRefP22_5x_0" localSheetId="50">'332'!$P$53:$P$54</definedName>
    <definedName name="OSRRefP22_5x_0" localSheetId="72">'405'!$P$54:$P$55</definedName>
    <definedName name="OSRRefP22_5x_0" localSheetId="74">'411'!$P$48</definedName>
    <definedName name="OSRRefP22_5x_0" localSheetId="78">'415'!$P$54:$P$55</definedName>
    <definedName name="OSRRefP22_5x_0" localSheetId="79">'418'!$P$52</definedName>
    <definedName name="OSRRefP22_5x_0" localSheetId="80">'423'!$P$46</definedName>
    <definedName name="OSRRefP22_5x_0" localSheetId="85">'430'!$P$48:$P$49</definedName>
    <definedName name="OSRRefP22_5x_0" localSheetId="86">'433'!$P$55</definedName>
    <definedName name="OSRRefP22_5x_0" localSheetId="87">'444'!$P$55</definedName>
    <definedName name="OSRRefP22_5x_0" localSheetId="88">'450'!$P$55</definedName>
    <definedName name="OSRRefP22_5x_0" localSheetId="71">'491'!$P$54:$P$55</definedName>
    <definedName name="OSRRefP22_5x_0" localSheetId="84">'492'!$P$55</definedName>
    <definedName name="OSRRefP22_5x_0" localSheetId="90">'501'!$P$48:$P$49</definedName>
    <definedName name="OSRRefP22_5x_0" localSheetId="39">'Div 2'!$P$49:$P$50</definedName>
    <definedName name="OSRRefP22_5x_0" localSheetId="47">'Div 3'!$P$85:$P$86</definedName>
    <definedName name="OSRRefP22_5x_0" localSheetId="69">'Div 4'!$P$57:$P$58</definedName>
    <definedName name="OSRRefP22_5x_0" localSheetId="89">'Div 5'!$P$48:$P$49</definedName>
    <definedName name="OSRRefP22_5x_0" localSheetId="61">'Div 6'!$P$62</definedName>
    <definedName name="OSRRefP22_5x_0" localSheetId="2">Summary!$P$93:$P$94</definedName>
    <definedName name="OSRRefP22_6x_0" localSheetId="41">'201'!$P$49</definedName>
    <definedName name="OSRRefP22_6x_0" localSheetId="42">'202'!$P$49:$P$51</definedName>
    <definedName name="OSRRefP22_6x_0" localSheetId="43">'203'!$P$50</definedName>
    <definedName name="OSRRefP22_6x_0" localSheetId="44">'204'!$P$53</definedName>
    <definedName name="OSRRefP22_6x_0" localSheetId="45">'205'!$P$50:$P$52</definedName>
    <definedName name="OSRRefP22_6x_0" localSheetId="46">'206'!$P$50:$P$51</definedName>
    <definedName name="OSRRefP22_6x_0" localSheetId="48">'300'!$P$84:$P$85</definedName>
    <definedName name="OSRRefP22_6x_0" localSheetId="49">'300 &amp; 317'!$P$90:$P$91</definedName>
    <definedName name="OSRRefP22_6x_0" localSheetId="51">'301'!$P$51</definedName>
    <definedName name="OSRRefP22_6x_0" localSheetId="53">'307'!$P$62</definedName>
    <definedName name="OSRRefP22_6x_0" localSheetId="54">'308'!$P$64</definedName>
    <definedName name="OSRRefP22_6x_0" localSheetId="63">'310'!$P$57</definedName>
    <definedName name="OSRRefP22_6x_0" localSheetId="70">'310 &amp; 491'!$P$59</definedName>
    <definedName name="OSRRefP22_6x_0" localSheetId="55">'311'!$P$64</definedName>
    <definedName name="OSRRefP22_6x_0" localSheetId="58">'315'!$P$72</definedName>
    <definedName name="OSRRefP22_6x_0" localSheetId="60">'316'!$P$56</definedName>
    <definedName name="OSRRefP22_6x_0" localSheetId="62">'317'!$P$64</definedName>
    <definedName name="OSRRefP22_6x_0" localSheetId="65">'321'!$P$52:$P$53</definedName>
    <definedName name="OSRRefP22_6x_0" localSheetId="67">'325'!$P$54</definedName>
    <definedName name="OSRRefP22_6x_0" localSheetId="59">'326'!$P$55</definedName>
    <definedName name="OSRRefP22_6x_0" localSheetId="52">'330'!$P$62</definedName>
    <definedName name="OSRRefP22_6x_0" localSheetId="57">'331'!$P$72</definedName>
    <definedName name="OSRRefP22_6x_0" localSheetId="50">'332'!$P$56</definedName>
    <definedName name="OSRRefP22_6x_0" localSheetId="72">'405'!$P$57</definedName>
    <definedName name="OSRRefP22_6x_0" localSheetId="74">'411'!$P$50</definedName>
    <definedName name="OSRRefP22_6x_0" localSheetId="78">'415'!$P$57</definedName>
    <definedName name="OSRRefP22_6x_0" localSheetId="79">'418'!$P$54</definedName>
    <definedName name="OSRRefP22_6x_0" localSheetId="85">'430'!$P$51</definedName>
    <definedName name="OSRRefP22_6x_0" localSheetId="86">'433'!$P$57</definedName>
    <definedName name="OSRRefP22_6x_0" localSheetId="87">'444'!$P$57</definedName>
    <definedName name="OSRRefP22_6x_0" localSheetId="88">'450'!$P$57</definedName>
    <definedName name="OSRRefP22_6x_0" localSheetId="71">'491'!$P$57</definedName>
    <definedName name="OSRRefP22_6x_0" localSheetId="84">'492'!$P$57</definedName>
    <definedName name="OSRRefP22_6x_0" localSheetId="90">'501'!$P$51</definedName>
    <definedName name="OSRRefP22_6x_0" localSheetId="39">'Div 2'!$P$52</definedName>
    <definedName name="OSRRefP22_6x_0" localSheetId="47">'Div 3'!$P$88:$P$89</definedName>
    <definedName name="OSRRefP22_6x_0" localSheetId="69">'Div 4'!$P$60</definedName>
    <definedName name="OSRRefP22_6x_0" localSheetId="89">'Div 5'!$P$51</definedName>
    <definedName name="OSRRefP22_6x_0" localSheetId="61">'Div 6'!$P$64</definedName>
    <definedName name="OSRRefP22_6x_0" localSheetId="2">Summary!$P$96:$P$97</definedName>
    <definedName name="OSRRefP22_7x_0" localSheetId="41">'201'!$P$51</definedName>
    <definedName name="OSRRefP22_7x_0" localSheetId="42">'202'!$P$53</definedName>
    <definedName name="OSRRefP22_7x_0" localSheetId="43">'203'!$P$52</definedName>
    <definedName name="OSRRefP22_7x_0" localSheetId="44">'204'!$P$55:$P$56</definedName>
    <definedName name="OSRRefP22_7x_0" localSheetId="45">'205'!$P$54</definedName>
    <definedName name="OSRRefP22_7x_0" localSheetId="46">'206'!$P$53</definedName>
    <definedName name="OSRRefP22_7x_0" localSheetId="48">'300'!$P$87</definedName>
    <definedName name="OSRRefP22_7x_0" localSheetId="49">'300 &amp; 317'!$P$93</definedName>
    <definedName name="OSRRefP22_7x_0" localSheetId="51">'301'!$P$53</definedName>
    <definedName name="OSRRefP22_7x_0" localSheetId="53">'307'!$P$64</definedName>
    <definedName name="OSRRefP22_7x_0" localSheetId="54">'308'!$P$66</definedName>
    <definedName name="OSRRefP22_7x_0" localSheetId="63">'310'!$P$59</definedName>
    <definedName name="OSRRefP22_7x_0" localSheetId="70">'310 &amp; 491'!$P$61</definedName>
    <definedName name="OSRRefP22_7x_0" localSheetId="55">'311'!$P$66</definedName>
    <definedName name="OSRRefP22_7x_0" localSheetId="58">'315'!$P$74:$P$75</definedName>
    <definedName name="OSRRefP22_7x_0" localSheetId="60">'316'!$P$58:$P$59</definedName>
    <definedName name="OSRRefP22_7x_0" localSheetId="62">'317'!$P$66</definedName>
    <definedName name="OSRRefP22_7x_0" localSheetId="65">'321'!$P$55</definedName>
    <definedName name="OSRRefP22_7x_0" localSheetId="67">'325'!$P$56</definedName>
    <definedName name="OSRRefP22_7x_0" localSheetId="59">'326'!$P$57</definedName>
    <definedName name="OSRRefP22_7x_0" localSheetId="52">'330'!$P$64</definedName>
    <definedName name="OSRRefP22_7x_0" localSheetId="57">'331'!$P$74:$P$75</definedName>
    <definedName name="OSRRefP22_7x_0" localSheetId="50">'332'!$P$58:$P$59</definedName>
    <definedName name="OSRRefP22_7x_0" localSheetId="72">'405'!$P$59</definedName>
    <definedName name="OSRRefP22_7x_0" localSheetId="74">'411'!$P$52</definedName>
    <definedName name="OSRRefP22_7x_0" localSheetId="78">'415'!$P$59</definedName>
    <definedName name="OSRRefP22_7x_0" localSheetId="79">'418'!$P$56</definedName>
    <definedName name="OSRRefP22_7x_0" localSheetId="85">'430'!$P$53</definedName>
    <definedName name="OSRRefP22_7x_0" localSheetId="86">'433'!$P$59</definedName>
    <definedName name="OSRRefP22_7x_0" localSheetId="87">'444'!$P$59</definedName>
    <definedName name="OSRRefP22_7x_0" localSheetId="88">'450'!$P$59</definedName>
    <definedName name="OSRRefP22_7x_0" localSheetId="71">'491'!$P$59</definedName>
    <definedName name="OSRRefP22_7x_0" localSheetId="84">'492'!$P$59</definedName>
    <definedName name="OSRRefP22_7x_0" localSheetId="90">'501'!$P$53</definedName>
    <definedName name="OSRRefP22_7x_0" localSheetId="39">'Div 2'!$P$54</definedName>
    <definedName name="OSRRefP22_7x_0" localSheetId="47">'Div 3'!$P$91</definedName>
    <definedName name="OSRRefP22_7x_0" localSheetId="69">'Div 4'!$P$62</definedName>
    <definedName name="OSRRefP22_7x_0" localSheetId="89">'Div 5'!$P$53</definedName>
    <definedName name="OSRRefP22_7x_0" localSheetId="61">'Div 6'!$P$66</definedName>
    <definedName name="OSRRefP22_7x_0" localSheetId="2">Summary!$P$99</definedName>
    <definedName name="OSRRefP22_8x_0" localSheetId="41">'201'!$P$53:$P$54</definedName>
    <definedName name="OSRRefP22_8x_0" localSheetId="42">'202'!$P$55</definedName>
    <definedName name="OSRRefP22_8x_0" localSheetId="43">'203'!$P$54:$P$56</definedName>
    <definedName name="OSRRefP22_8x_0" localSheetId="48">'300'!$P$89</definedName>
    <definedName name="OSRRefP22_8x_0" localSheetId="49">'300 &amp; 317'!$P$95</definedName>
    <definedName name="OSRRefP22_8x_0" localSheetId="51">'301'!$P$55</definedName>
    <definedName name="OSRRefP22_8x_0" localSheetId="53">'307'!$P$66</definedName>
    <definedName name="OSRRefP22_8x_0" localSheetId="54">'308'!$P$68:$P$70</definedName>
    <definedName name="OSRRefP22_8x_0" localSheetId="63">'310'!$P$61</definedName>
    <definedName name="OSRRefP22_8x_0" localSheetId="70">'310 &amp; 491'!$P$63</definedName>
    <definedName name="OSRRefP22_8x_0" localSheetId="55">'311'!$P$68:$P$70</definedName>
    <definedName name="OSRRefP22_8x_0" localSheetId="58">'315'!$P$77</definedName>
    <definedName name="OSRRefP22_8x_0" localSheetId="60">'316'!$P$61</definedName>
    <definedName name="OSRRefP22_8x_0" localSheetId="62">'317'!$P$68:$P$69</definedName>
    <definedName name="OSRRefP22_8x_0" localSheetId="65">'321'!$P$57:$P$58</definedName>
    <definedName name="OSRRefP22_8x_0" localSheetId="67">'325'!$P$58</definedName>
    <definedName name="OSRRefP22_8x_0" localSheetId="59">'326'!$P$59</definedName>
    <definedName name="OSRRefP22_8x_0" localSheetId="52">'330'!$P$66</definedName>
    <definedName name="OSRRefP22_8x_0" localSheetId="57">'331'!$P$77:$P$78</definedName>
    <definedName name="OSRRefP22_8x_0" localSheetId="50">'332'!$P$61</definedName>
    <definedName name="OSRRefP22_8x_0" localSheetId="72">'405'!$P$61</definedName>
    <definedName name="OSRRefP22_8x_0" localSheetId="74">'411'!$P$54:$P$56</definedName>
    <definedName name="OSRRefP22_8x_0" localSheetId="78">'415'!$P$61</definedName>
    <definedName name="OSRRefP22_8x_0" localSheetId="79">'418'!$P$58:$P$59</definedName>
    <definedName name="OSRRefP22_8x_0" localSheetId="86">'433'!$P$61</definedName>
    <definedName name="OSRRefP22_8x_0" localSheetId="87">'444'!$P$61</definedName>
    <definedName name="OSRRefP22_8x_0" localSheetId="88">'450'!$P$61</definedName>
    <definedName name="OSRRefP22_8x_0" localSheetId="71">'491'!$P$61</definedName>
    <definedName name="OSRRefP22_8x_0" localSheetId="84">'492'!$P$61</definedName>
    <definedName name="OSRRefP22_8x_0" localSheetId="90">'501'!$P$55</definedName>
    <definedName name="OSRRefP22_8x_0" localSheetId="39">'Div 2'!$P$56</definedName>
    <definedName name="OSRRefP22_8x_0" localSheetId="47">'Div 3'!$P$93</definedName>
    <definedName name="OSRRefP22_8x_0" localSheetId="69">'Div 4'!$P$64</definedName>
    <definedName name="OSRRefP22_8x_0" localSheetId="89">'Div 5'!$P$55</definedName>
    <definedName name="OSRRefP22_8x_0" localSheetId="61">'Div 6'!$P$68:$P$69</definedName>
    <definedName name="OSRRefP22_8x_0" localSheetId="2">Summary!$P$101</definedName>
    <definedName name="OSRRefP22_9x_0" localSheetId="41">'201'!$P$56:$P$57</definedName>
    <definedName name="OSRRefP22_9x_0" localSheetId="42">'202'!$P$57</definedName>
    <definedName name="OSRRefP22_9x_0" localSheetId="43">'203'!$P$58:$P$59</definedName>
    <definedName name="OSRRefP22_9x_0" localSheetId="48">'300'!$P$91</definedName>
    <definedName name="OSRRefP22_9x_0" localSheetId="49">'300 &amp; 317'!$P$97</definedName>
    <definedName name="OSRRefP22_9x_0" localSheetId="51">'301'!$P$57</definedName>
    <definedName name="OSRRefP22_9x_0" localSheetId="53">'307'!$P$68:$P$69</definedName>
    <definedName name="OSRRefP22_9x_0" localSheetId="54">'308'!$P$72</definedName>
    <definedName name="OSRRefP22_9x_0" localSheetId="63">'310'!$P$63</definedName>
    <definedName name="OSRRefP22_9x_0" localSheetId="70">'310 &amp; 491'!$P$65</definedName>
    <definedName name="OSRRefP22_9x_0" localSheetId="55">'311'!$P$72</definedName>
    <definedName name="OSRRefP22_9x_0" localSheetId="58">'315'!$P$79</definedName>
    <definedName name="OSRRefP22_9x_0" localSheetId="60">'316'!$P$63:$P$66</definedName>
    <definedName name="OSRRefP22_9x_0" localSheetId="62">'317'!$P$71</definedName>
    <definedName name="OSRRefP22_9x_0" localSheetId="65">'321'!$P$60:$P$62</definedName>
    <definedName name="OSRRefP22_9x_0" localSheetId="67">'325'!$P$60</definedName>
    <definedName name="OSRRefP22_9x_0" localSheetId="59">'326'!$P$61</definedName>
    <definedName name="OSRRefP22_9x_0" localSheetId="52">'330'!$P$68:$P$69</definedName>
    <definedName name="OSRRefP22_9x_0" localSheetId="57">'331'!$P$80</definedName>
    <definedName name="OSRRefP22_9x_0" localSheetId="50">'332'!$P$63:$P$66</definedName>
    <definedName name="OSRRefP22_9x_0" localSheetId="72">'405'!$P$63:$P$64</definedName>
    <definedName name="OSRRefP22_9x_0" localSheetId="74">'411'!$P$58:$P$60</definedName>
    <definedName name="OSRRefP22_9x_0" localSheetId="78">'415'!$P$63</definedName>
    <definedName name="OSRRefP22_9x_0" localSheetId="79">'418'!$P$61:$P$64</definedName>
    <definedName name="OSRRefP22_9x_0" localSheetId="86">'433'!$P$63</definedName>
    <definedName name="OSRRefP22_9x_0" localSheetId="87">'444'!$P$63</definedName>
    <definedName name="OSRRefP22_9x_0" localSheetId="88">'450'!$P$63</definedName>
    <definedName name="OSRRefP22_9x_0" localSheetId="71">'491'!$P$63</definedName>
    <definedName name="OSRRefP22_9x_0" localSheetId="84">'492'!$P$63</definedName>
    <definedName name="OSRRefP22_9x_0" localSheetId="90">'501'!$P$57:$P$59</definedName>
    <definedName name="OSRRefP22_9x_0" localSheetId="39">'Div 2'!$P$58</definedName>
    <definedName name="OSRRefP22_9x_0" localSheetId="47">'Div 3'!$P$95</definedName>
    <definedName name="OSRRefP22_9x_0" localSheetId="69">'Div 4'!$P$66</definedName>
    <definedName name="OSRRefP22_9x_0" localSheetId="89">'Div 5'!$P$57:$P$59</definedName>
    <definedName name="OSRRefP22_9x_0" localSheetId="61">'Div 6'!$P$71</definedName>
    <definedName name="OSRRefP22_9x_0" localSheetId="2">Summary!$P$103</definedName>
    <definedName name="OSRRefP22x_0" localSheetId="40">'200'!$P$20,'200'!$P$22,'200'!$P$24,'200'!$P$26:$P$27</definedName>
    <definedName name="OSRRefP22x_0" localSheetId="41">'201'!$P$20:$P$28,'201'!$P$30:$P$39,'201'!$P$41,'201'!$P$43,'201'!$P$45,'201'!$P$47,'201'!$P$49,'201'!$P$51,'201'!$P$53:$P$54,'201'!$P$56:$P$57,'201'!$P$59,'201'!$P$61:$P$62,'201'!$P$64</definedName>
    <definedName name="OSRRefP22x_0" localSheetId="42">'202'!$P$20:$P$28,'202'!$P$30:$P$39,'202'!$P$41,'202'!$P$43,'202'!$P$45,'202'!$P$47,'202'!$P$49:$P$51,'202'!$P$53,'202'!$P$55,'202'!$P$57,'202'!$P$59,'202'!$P$61</definedName>
    <definedName name="OSRRefP22x_0" localSheetId="43">'203'!$P$20:$P$29,'203'!$P$31:$P$40,'203'!$P$42,'203'!$P$44,'203'!$P$46,'203'!$P$48,'203'!$P$50,'203'!$P$52,'203'!$P$54:$P$56,'203'!$P$58:$P$59,'203'!$P$61,'203'!$P$63:$P$66,'203'!$P$68,'203'!$P$70</definedName>
    <definedName name="OSRRefP22x_0" localSheetId="44">'204'!$P$20:$P$28,'204'!$P$30:$P$39,'204'!$P$41,'204'!$P$43:$P$44,'204'!$P$46,'204'!$P$48:$P$51,'204'!$P$53,'204'!$P$55:$P$56</definedName>
    <definedName name="OSRRefP22x_0" localSheetId="45">'205'!$P$20:$P$28,'205'!$P$30:$P$39,'205'!$P$41,'205'!$P$43,'205'!$P$45:$P$46,'205'!$P$48,'205'!$P$50:$P$52,'205'!$P$54</definedName>
    <definedName name="OSRRefP22x_0" localSheetId="46">'206'!$P$20:$P$28,'206'!$P$30:$P$39,'206'!$P$41,'206'!$P$43,'206'!$P$45:$P$46,'206'!$P$48,'206'!$P$50:$P$51,'206'!$P$53</definedName>
    <definedName name="OSRRefP22x_0" localSheetId="48">'300'!$P$53:$P$62,'300'!$P$64:$P$73,'300'!$P$75,'300'!$P$77,'300'!$P$79,'300'!$P$81:$P$82,'300'!$P$84:$P$85,'300'!$P$87,'300'!$P$89,'300'!$P$91,'300'!$P$93:$P$94,'300'!$P$96:$P$97,'300'!$P$99,'300'!$P$101,'300'!$P$103,'300'!$P$105,'300'!$P$107:$P$110,'300'!$P$112:$P$115,'300'!$P$117:$P$119,'300'!$P$121:$P$122,'300'!$P$124:$P$130,'300'!$P$132:$P$133,'300'!$P$135,'300'!$P$137:$P$139,'300'!$P$141</definedName>
    <definedName name="OSRRefP22x_0" localSheetId="49">'300 &amp; 317'!$P$59:$P$68,'300 &amp; 317'!$P$70:$P$79,'300 &amp; 317'!$P$81,'300 &amp; 317'!$P$83,'300 &amp; 317'!$P$85,'300 &amp; 317'!$P$87:$P$88,'300 &amp; 317'!$P$90:$P$91,'300 &amp; 317'!$P$93,'300 &amp; 317'!$P$95,'300 &amp; 317'!$P$97,'300 &amp; 317'!$P$99:$P$100,'300 &amp; 317'!$P$102:$P$103,'300 &amp; 317'!$P$105,'300 &amp; 317'!$P$107,'300 &amp; 317'!$P$109,'300 &amp; 317'!$P$111,'300 &amp; 317'!$P$113:$P$116,'300 &amp; 317'!$P$118:$P$121,'300 &amp; 317'!$P$123:$P$125,'300 &amp; 317'!$P$127:$P$128,'300 &amp; 317'!$P$130:$P$136,'300 &amp; 317'!$P$138:$P$139,'300 &amp; 317'!$P$141,'300 &amp; 317'!$P$143:$P$145,'300 &amp; 317'!$P$147</definedName>
    <definedName name="OSRRefP22x_0" localSheetId="51">'301'!$P$20:$P$29,'301'!$P$31:$P$40,'301'!$P$42,'301'!$P$44,'301'!$P$46,'301'!$P$48:$P$49,'301'!$P$51,'301'!$P$53,'301'!$P$55,'301'!$P$57,'301'!$P$59,'301'!$P$61,'301'!$P$63,'301'!$P$65,'301'!$P$67:$P$70,'301'!$P$72:$P$73,'301'!$P$75,'301'!$P$77:$P$82,'301'!$P$84,'301'!$P$86,'301'!$P$88,'301'!$P$90</definedName>
    <definedName name="OSRRefP22x_0" localSheetId="53">'307'!$P$33:$P$40,'307'!$P$42:$P$51,'307'!$P$53,'307'!$P$55,'307'!$P$57,'307'!$P$59:$P$60,'307'!$P$62,'307'!$P$64,'307'!$P$66,'307'!$P$68:$P$69,'307'!$P$71:$P$72,'307'!$P$74:$P$76,'307'!$P$78</definedName>
    <definedName name="OSRRefP22x_0" localSheetId="54">'308'!$P$34:$P$43,'308'!$P$45:$P$54,'308'!$P$56,'308'!$P$58,'308'!$P$60,'308'!$P$62,'308'!$P$64,'308'!$P$66,'308'!$P$68:$P$70,'308'!$P$72,'308'!$P$74:$P$75,'308'!$P$77:$P$78</definedName>
    <definedName name="OSRRefP22x_0" localSheetId="64">'309'!$P$20,'309'!$P$22,'309'!$P$24:$P$25,'309'!$P$27</definedName>
    <definedName name="OSRRefP22x_0" localSheetId="63">'310'!$P$27:$P$35,'310'!$P$37:$P$46,'310'!$P$48,'310'!$P$50,'310'!$P$52,'310'!$P$54:$P$55,'310'!$P$57,'310'!$P$59,'310'!$P$61,'310'!$P$63,'310'!$P$65:$P$67,'310'!$P$69,'310'!$P$71:$P$73,'310'!$P$75:$P$79,'310'!$P$81:$P$82,'310'!$P$84,'310'!$P$86</definedName>
    <definedName name="OSRRefP22x_0" localSheetId="70">'310 &amp; 491'!$P$29:$P$37,'310 &amp; 491'!$P$39:$P$48,'310 &amp; 491'!$P$50,'310 &amp; 491'!$P$52,'310 &amp; 491'!$P$54,'310 &amp; 491'!$P$56:$P$57,'310 &amp; 491'!$P$59,'310 &amp; 491'!$P$61,'310 &amp; 491'!$P$63,'310 &amp; 491'!$P$65,'310 &amp; 491'!$P$67,'310 &amp; 491'!$P$69,'310 &amp; 491'!$P$71:$P$73,'310 &amp; 491'!$P$75,'310 &amp; 491'!$P$77:$P$81,'310 &amp; 491'!$P$83,'310 &amp; 491'!$P$85:$P$94,'310 &amp; 491'!$P$96:$P$97,'310 &amp; 491'!$P$99,'310 &amp; 491'!$P$101</definedName>
    <definedName name="OSRRefP22x_0" localSheetId="55">'311'!$P$34:$P$43,'311'!$P$45:$P$54,'311'!$P$56,'311'!$P$58,'311'!$P$60,'311'!$P$62,'311'!$P$64,'311'!$P$66,'311'!$P$68:$P$70,'311'!$P$72,'311'!$P$74:$P$75,'311'!$P$77:$P$78</definedName>
    <definedName name="OSRRefP22x_0" localSheetId="58">'315'!$P$43:$P$51,'315'!$P$53:$P$62,'315'!$P$64,'315'!$P$66,'315'!$P$68,'315'!$P$70,'315'!$P$72,'315'!$P$74:$P$75,'315'!$P$77,'315'!$P$79,'315'!$P$81,'315'!$P$83:$P$84,'315'!$P$86:$P$88,'315'!$P$90:$P$91,'315'!$P$93:$P$95,'315'!$P$97,'315'!$P$99</definedName>
    <definedName name="OSRRefP22x_0" localSheetId="60">'316'!$P$26:$P$34,'316'!$P$36:$P$45,'316'!$P$47,'316'!$P$49,'316'!$P$51,'316'!$P$53:$P$54,'316'!$P$56,'316'!$P$58:$P$59,'316'!$P$61,'316'!$P$63:$P$66,'316'!$P$68</definedName>
    <definedName name="OSRRefP22x_0" localSheetId="62">'317'!$P$34:$P$43,'317'!$P$45:$P$54,'317'!$P$56,'317'!$P$58,'317'!$P$60,'317'!$P$62,'317'!$P$64,'317'!$P$66,'317'!$P$68:$P$69,'317'!$P$71</definedName>
    <definedName name="OSRRefP22x_0" localSheetId="65">'321'!$P$23:$P$31,'321'!$P$33:$P$42,'321'!$P$44,'321'!$P$46,'321'!$P$48,'321'!$P$50,'321'!$P$52:$P$53,'321'!$P$55,'321'!$P$57:$P$58,'321'!$P$60:$P$62,'321'!$P$64,'321'!$P$66</definedName>
    <definedName name="OSRRefP22x_0" localSheetId="66">'322'!$P$20</definedName>
    <definedName name="OSRRefP22x_0" localSheetId="67">'325'!$P$25:$P$32,'325'!$P$34:$P$43,'325'!$P$45,'325'!$P$47,'325'!$P$49,'325'!$P$51:$P$52,'325'!$P$54,'325'!$P$56,'325'!$P$58,'325'!$P$60,'325'!$P$62:$P$64,'325'!$P$66:$P$68,'325'!$P$70:$P$74,'325'!$P$76:$P$77,'325'!$P$79</definedName>
    <definedName name="OSRRefP22x_0" localSheetId="59">'326'!$P$26:$P$34,'326'!$P$36:$P$45,'326'!$P$47,'326'!$P$49,'326'!$P$51,'326'!$P$53,'326'!$P$55,'326'!$P$57,'326'!$P$59,'326'!$P$61,'326'!$P$63,'326'!$P$65:$P$66,'326'!$P$68:$P$69,'326'!$P$71:$P$72,'326'!$P$74:$P$76,'326'!$P$78,'326'!$P$80:$P$81,'326'!$P$83</definedName>
    <definedName name="OSRRefP22x_0" localSheetId="68">'327'!$P$26</definedName>
    <definedName name="OSRRefP22x_0" localSheetId="52">'330'!$P$33:$P$40,'330'!$P$42:$P$51,'330'!$P$53,'330'!$P$55,'330'!$P$57,'330'!$P$59:$P$60,'330'!$P$62,'330'!$P$64,'330'!$P$66,'330'!$P$68:$P$69,'330'!$P$71:$P$72,'330'!$P$74:$P$76,'330'!$P$78</definedName>
    <definedName name="OSRRefP22x_0" localSheetId="57">'331'!$P$43:$P$51,'331'!$P$53:$P$62,'331'!$P$64,'331'!$P$66,'331'!$P$68,'331'!$P$70,'331'!$P$72,'331'!$P$74:$P$75,'331'!$P$77:$P$78,'331'!$P$80,'331'!$P$82,'331'!$P$84,'331'!$P$86,'331'!$P$88:$P$89,'331'!$P$91:$P$93,'331'!$P$95:$P$96,'331'!$P$98:$P$99,'331'!$P$101:$P$104,'331'!$P$106,'331'!$P$108:$P$109,'331'!$P$111</definedName>
    <definedName name="OSRRefP22x_0" localSheetId="50">'332'!$P$26:$P$34,'332'!$P$36:$P$45,'332'!$P$47,'332'!$P$49,'332'!$P$51,'332'!$P$53:$P$54,'332'!$P$56,'332'!$P$58:$P$59,'332'!$P$61,'332'!$P$63:$P$66,'332'!$P$68</definedName>
    <definedName name="OSRRefP22x_0" localSheetId="72">'405'!$P$27:$P$35,'405'!$P$37:$P$46,'405'!$P$48,'405'!$P$50,'405'!$P$52,'405'!$P$54:$P$55,'405'!$P$57,'405'!$P$59,'405'!$P$61,'405'!$P$63:$P$64,'405'!$P$66:$P$69,'405'!$P$71,'405'!$P$73:$P$80,'405'!$P$82,'405'!$P$84,'405'!$P$86</definedName>
    <definedName name="OSRRefP22x_0" localSheetId="73">'406'!$P$20,'406'!$P$22</definedName>
    <definedName name="OSRRefP22x_0" localSheetId="74">'411'!$P$20:$P$28,'411'!$P$30:$P$39,'411'!$P$41,'411'!$P$43:$P$44,'411'!$P$46,'411'!$P$48,'411'!$P$50,'411'!$P$52,'411'!$P$54:$P$56,'411'!$P$58:$P$60,'411'!$P$62,'411'!$P$64,'411'!$P$66,'411'!$P$68</definedName>
    <definedName name="OSRRefP22x_0" localSheetId="75">'412'!$P$20,'412'!$P$22,'412'!$P$24,'412'!$P$26</definedName>
    <definedName name="OSRRefP22x_0" localSheetId="76">'413'!$P$20,'413'!$P$22,'413'!$P$24</definedName>
    <definedName name="OSRRefP22x_0" localSheetId="77">'414'!$P$20,'414'!$P$22</definedName>
    <definedName name="OSRRefP22x_0" localSheetId="78">'415'!$P$27:$P$35,'415'!$P$37:$P$46,'415'!$P$48,'415'!$P$50,'415'!$P$52,'415'!$P$54:$P$55,'415'!$P$57,'415'!$P$59,'415'!$P$61,'415'!$P$63,'415'!$P$65:$P$66,'415'!$P$68:$P$71,'415'!$P$73,'415'!$P$75:$P$80,'415'!$P$82:$P$83,'415'!$P$85,'415'!$P$87</definedName>
    <definedName name="OSRRefP22x_0" localSheetId="79">'418'!$P$24:$P$32,'418'!$P$34:$P$43,'418'!$P$45,'418'!$P$47,'418'!$P$49:$P$50,'418'!$P$52,'418'!$P$54,'418'!$P$56,'418'!$P$58:$P$59,'418'!$P$61:$P$64,'418'!$P$66,'418'!$P$68:$P$75,'418'!$P$77:$P$78,'418'!$P$80,'418'!$P$82</definedName>
    <definedName name="OSRRefP22x_0" localSheetId="80">'423'!$P$20:$P$27,'423'!$P$29:$P$38,'423'!$P$40,'423'!$P$42,'423'!$P$44,'423'!$P$46</definedName>
    <definedName name="OSRRefP22x_0" localSheetId="81">'424'!$P$20,'424'!$P$22</definedName>
    <definedName name="OSRRefP22x_0" localSheetId="82">'425'!$P$21,'425'!$P$23</definedName>
    <definedName name="OSRRefP22x_0" localSheetId="85">'430'!$P$20:$P$28,'430'!$P$30:$P$39,'430'!$P$41,'430'!$P$43,'430'!$P$45:$P$46,'430'!$P$48:$P$49,'430'!$P$51,'430'!$P$53</definedName>
    <definedName name="OSRRefP22x_0" localSheetId="86">'433'!$P$27:$P$36,'433'!$P$38:$P$47,'433'!$P$49,'433'!$P$51,'433'!$P$53,'433'!$P$55,'433'!$P$57,'433'!$P$59,'433'!$P$61,'433'!$P$63,'433'!$P$65,'433'!$P$67:$P$69,'433'!$P$71:$P$74,'433'!$P$76:$P$83,'433'!$P$85</definedName>
    <definedName name="OSRRefP22x_0" localSheetId="87">'444'!$P$27:$P$36,'444'!$P$38:$P$47,'444'!$P$49,'444'!$P$51,'444'!$P$53,'444'!$P$55,'444'!$P$57,'444'!$P$59,'444'!$P$61,'444'!$P$63,'444'!$P$65,'444'!$P$67:$P$68,'444'!$P$70:$P$73,'444'!$P$75:$P$81,'444'!$P$83,'444'!$P$85</definedName>
    <definedName name="OSRRefP22x_0" localSheetId="88">'450'!$P$27:$P$36,'450'!$P$38:$P$47,'450'!$P$49,'450'!$P$51,'450'!$P$53,'450'!$P$55,'450'!$P$57,'450'!$P$59,'450'!$P$61,'450'!$P$63,'450'!$P$65,'450'!$P$67:$P$69,'450'!$P$71:$P$74,'450'!$P$76:$P$82,'450'!$P$84,'450'!$P$86,'450'!$P$88</definedName>
    <definedName name="OSRRefP22x_0" localSheetId="71">'491'!$P$27:$P$35,'491'!$P$37:$P$46,'491'!$P$48,'491'!$P$50,'491'!$P$52,'491'!$P$54:$P$55,'491'!$P$57,'491'!$P$59,'491'!$P$61,'491'!$P$63,'491'!$P$65,'491'!$P$67,'491'!$P$69:$P$71,'491'!$P$73:$P$77,'491'!$P$79,'491'!$P$81:$P$89,'491'!$P$91:$P$92,'491'!$P$94,'491'!$P$96</definedName>
    <definedName name="OSRRefP22x_0" localSheetId="84">'492'!$P$27:$P$36,'492'!$P$38:$P$47,'492'!$P$49,'492'!$P$51,'492'!$P$53,'492'!$P$55,'492'!$P$57,'492'!$P$59,'492'!$P$61,'492'!$P$63,'492'!$P$65,'492'!$P$67,'492'!$P$69:$P$71,'492'!$P$73:$P$76,'492'!$P$78:$P$85,'492'!$P$87:$P$88,'492'!$P$90,'492'!$P$92:$P$93</definedName>
    <definedName name="OSRRefP22x_0" localSheetId="90">'501'!$P$21:$P$29,'501'!$P$31:$P$40,'501'!$P$42,'501'!$P$44,'501'!$P$46,'501'!$P$48:$P$49,'501'!$P$51,'501'!$P$53,'501'!$P$55,'501'!$P$57:$P$59,'501'!$P$61,'501'!$P$63:$P$64,'501'!$P$66</definedName>
    <definedName name="OSRRefP22x_0" localSheetId="39">'Div 2'!$P$20:$P$30,'Div 2'!$P$32:$P$41,'Div 2'!$P$43,'Div 2'!$P$45,'Div 2'!$P$47,'Div 2'!$P$49:$P$50,'Div 2'!$P$52,'Div 2'!$P$54,'Div 2'!$P$56,'Div 2'!$P$58,'Div 2'!$P$60,'Div 2'!$P$62,'Div 2'!$P$64:$P$67,'Div 2'!$P$69:$P$72,'Div 2'!$P$74:$P$75,'Div 2'!$P$77,'Div 2'!$P$79:$P$84,'Div 2'!$P$86:$P$87,'Div 2'!$P$89,'Div 2'!$P$91</definedName>
    <definedName name="OSRRefP22x_0" localSheetId="47">'Div 3'!$P$57:$P$66,'Div 3'!$P$68:$P$77,'Div 3'!$P$79,'Div 3'!$P$81,'Div 3'!$P$83,'Div 3'!$P$85:$P$86,'Div 3'!$P$88:$P$89,'Div 3'!$P$91,'Div 3'!$P$93,'Div 3'!$P$95,'Div 3'!$P$97:$P$98,'Div 3'!$P$100:$P$101,'Div 3'!$P$103,'Div 3'!$P$105,'Div 3'!$P$107,'Div 3'!$P$109,'Div 3'!$P$111,'Div 3'!$P$113:$P$116,'Div 3'!$P$118:$P$121,'Div 3'!$P$123:$P$126,'Div 3'!$P$128:$P$129,'Div 3'!$P$131:$P$137,'Div 3'!$P$139:$P$140,'Div 3'!$P$142,'Div 3'!$P$144:$P$146,'Div 3'!$P$148</definedName>
    <definedName name="OSRRefP22x_0" localSheetId="69">'Div 4'!$P$29:$P$38,'Div 4'!$P$40:$P$49,'Div 4'!$P$51,'Div 4'!$P$53,'Div 4'!$P$55,'Div 4'!$P$57:$P$58,'Div 4'!$P$60,'Div 4'!$P$62,'Div 4'!$P$64,'Div 4'!$P$66,'Div 4'!$P$68,'Div 4'!$P$70,'Div 4'!$P$72,'Div 4'!$P$74,'Div 4'!$P$76:$P$78,'Div 4'!$P$80:$P$84,'Div 4'!$P$86,'Div 4'!$P$88:$P$97,'Div 4'!$P$99:$P$100,'Div 4'!$P$102,'Div 4'!$P$104:$P$105,'Div 4'!$P$107</definedName>
    <definedName name="OSRRefP22x_0" localSheetId="89">'Div 5'!$P$21:$P$29,'Div 5'!$P$31:$P$40,'Div 5'!$P$42,'Div 5'!$P$44,'Div 5'!$P$46,'Div 5'!$P$48:$P$49,'Div 5'!$P$51,'Div 5'!$P$53,'Div 5'!$P$55,'Div 5'!$P$57:$P$59,'Div 5'!$P$61,'Div 5'!$P$63:$P$64,'Div 5'!$P$66</definedName>
    <definedName name="OSRRefP22x_0" localSheetId="61">'Div 6'!$P$34:$P$43,'Div 6'!$P$45:$P$54,'Div 6'!$P$56,'Div 6'!$P$58,'Div 6'!$P$60,'Div 6'!$P$62,'Div 6'!$P$64,'Div 6'!$P$66,'Div 6'!$P$68:$P$69,'Div 6'!$P$71</definedName>
    <definedName name="OSRRefP22x_0" localSheetId="2">Summary!$P$65:$P$74,Summary!$P$76:$P$85,Summary!$P$87,Summary!$P$89,Summary!$P$91,Summary!$P$93:$P$94,Summary!$P$96:$P$97,Summary!$P$99,Summary!$P$101,Summary!$P$103,Summary!$P$105:$P$106,Summary!$P$108:$P$109,Summary!$P$111,Summary!$P$113,Summary!$P$115,Summary!$P$117,Summary!$P$119,Summary!$P$121,Summary!$P$123:$P$126,Summary!$P$128:$P$131,Summary!$P$133:$P$137,Summary!$P$139:$P$140,Summary!$P$142:$P$151,Summary!$P$153:$P$154,Summary!$P$156,Summary!$P$158:$P$160,Summary!$P$162</definedName>
    <definedName name="OSRRefP25x_0" localSheetId="48">'300'!$P$144:$P$148</definedName>
    <definedName name="OSRRefP25x_0" localSheetId="49">'300 &amp; 317'!$P$150:$P$156</definedName>
    <definedName name="OSRRefP25x_0" localSheetId="51">'301'!$P$93:$P$94</definedName>
    <definedName name="OSRRefP25x_0" localSheetId="54">'308'!$P$81:$P$84</definedName>
    <definedName name="OSRRefP25x_0" localSheetId="70">'310 &amp; 491'!$P$104:$P$106</definedName>
    <definedName name="OSRRefP25x_0" localSheetId="55">'311'!$P$81:$P$84</definedName>
    <definedName name="OSRRefP25x_0" localSheetId="58">'315'!$P$102:$P$104</definedName>
    <definedName name="OSRRefP25x_0" localSheetId="60">'316'!$P$71</definedName>
    <definedName name="OSRRefP25x_0" localSheetId="62">'317'!$P$74:$P$76</definedName>
    <definedName name="OSRRefP25x_0" localSheetId="57">'331'!$P$114:$P$116</definedName>
    <definedName name="OSRRefP25x_0" localSheetId="50">'332'!$P$71</definedName>
    <definedName name="OSRRefP25x_0" localSheetId="74">'411'!$P$71</definedName>
    <definedName name="OSRRefP25x_0" localSheetId="78">'415'!$P$90</definedName>
    <definedName name="OSRRefP25x_0" localSheetId="80">'423'!$P$49</definedName>
    <definedName name="OSRRefP25x_0" localSheetId="83">'455'!$P$21:$P$22</definedName>
    <definedName name="OSRRefP25x_0" localSheetId="71">'491'!$P$99:$P$101</definedName>
    <definedName name="OSRRefP25x_0" localSheetId="90">'501'!$P$69</definedName>
    <definedName name="OSRRefP25x_0" localSheetId="47">'Div 3'!$P$151:$P$155</definedName>
    <definedName name="OSRRefP25x_0" localSheetId="69">'Div 4'!$P$110:$P$112</definedName>
    <definedName name="OSRRefP25x_0" localSheetId="89">'Div 5'!$P$69</definedName>
    <definedName name="OSRRefP25x_0" localSheetId="61">'Div 6'!$P$74:$P$76</definedName>
    <definedName name="OSRRefP25x_0" localSheetId="2">Summary!$P$165:$P$172</definedName>
    <definedName name="OSRRefT13x_0" localSheetId="48">'300'!$T$13:$T$18</definedName>
    <definedName name="OSRRefT13x_0" localSheetId="49">'300 &amp; 317'!$T$13:$T$18</definedName>
    <definedName name="OSRRefT13x_0" localSheetId="53">'307'!$T$13:$T$15</definedName>
    <definedName name="OSRRefT13x_0" localSheetId="54">'308'!$T$13:$T$16</definedName>
    <definedName name="OSRRefT13x_0" localSheetId="63">'310'!$T$13:$T$16</definedName>
    <definedName name="OSRRefT13x_0" localSheetId="70">'310 &amp; 491'!$T$13:$T$18</definedName>
    <definedName name="OSRRefT13x_0" localSheetId="55">'311'!$T$13:$T$16</definedName>
    <definedName name="OSRRefT13x_0" localSheetId="58">'315'!$T$13:$T$16</definedName>
    <definedName name="OSRRefT13x_0" localSheetId="60">'316'!$T$13:$T$17</definedName>
    <definedName name="OSRRefT13x_0" localSheetId="62">'317'!$T$13:$T$16</definedName>
    <definedName name="OSRRefT13x_0" localSheetId="65">'321'!$T$13:$T$14</definedName>
    <definedName name="OSRRefT13x_0" localSheetId="56">'324'!$T$13:$T$14</definedName>
    <definedName name="OSRRefT13x_0" localSheetId="67">'325'!$T$13:$T$14</definedName>
    <definedName name="OSRRefT13x_0" localSheetId="59">'326'!$T$13:$T$15</definedName>
    <definedName name="OSRRefT13x_0" localSheetId="68">'327'!$T$13:$T$15</definedName>
    <definedName name="OSRRefT13x_0" localSheetId="52">'330'!$T$13:$T$15</definedName>
    <definedName name="OSRRefT13x_0" localSheetId="57">'331'!$T$13:$T$16</definedName>
    <definedName name="OSRRefT13x_0" localSheetId="50">'332'!$T$13:$T$17</definedName>
    <definedName name="OSRRefT13x_0" localSheetId="72">'405'!$T$13:$T$16</definedName>
    <definedName name="OSRRefT13x_0" localSheetId="78">'415'!$T$13:$T$16</definedName>
    <definedName name="OSRRefT13x_0" localSheetId="79">'418'!$T$13:$T$14</definedName>
    <definedName name="OSRRefT13x_0" localSheetId="86">'433'!$T$13:$T$16</definedName>
    <definedName name="OSRRefT13x_0" localSheetId="87">'444'!$T$13:$T$16</definedName>
    <definedName name="OSRRefT13x_0" localSheetId="88">'450'!$T$13:$T$16</definedName>
    <definedName name="OSRRefT13x_0" localSheetId="71">'491'!$T$13:$T$16</definedName>
    <definedName name="OSRRefT13x_0" localSheetId="84">'492'!$T$13:$T$16</definedName>
    <definedName name="OSRRefT13x_0" localSheetId="90">'501'!$T$13</definedName>
    <definedName name="OSRRefT13x_0" localSheetId="47">'Div 3'!$T$13:$T$20</definedName>
    <definedName name="OSRRefT13x_0" localSheetId="69">'Div 4'!$T$13:$T$18</definedName>
    <definedName name="OSRRefT13x_0" localSheetId="89">'Div 5'!$T$13</definedName>
    <definedName name="OSRRefT13x_0" localSheetId="61">'Div 6'!$T$13:$T$16</definedName>
    <definedName name="OSRRefT13x_0" localSheetId="2">Summary!$T$13:$T$22</definedName>
    <definedName name="OSRRefT16x_0" localSheetId="48">'300'!$T$21:$T$47</definedName>
    <definedName name="OSRRefT16x_0" localSheetId="49">'300 &amp; 317'!$T$21:$T$53</definedName>
    <definedName name="OSRRefT16x_0" localSheetId="53">'307'!$T$18:$T$27</definedName>
    <definedName name="OSRRefT16x_0" localSheetId="54">'308'!$T$19:$T$28</definedName>
    <definedName name="OSRRefT16x_0" localSheetId="63">'310'!$T$19:$T$21</definedName>
    <definedName name="OSRRefT16x_0" localSheetId="70">'310 &amp; 491'!$T$21:$T$23</definedName>
    <definedName name="OSRRefT16x_0" localSheetId="55">'311'!$T$19:$T$28</definedName>
    <definedName name="OSRRefT16x_0" localSheetId="58">'315'!$T$19:$T$37</definedName>
    <definedName name="OSRRefT16x_0" localSheetId="60">'316'!$T$20</definedName>
    <definedName name="OSRRefT16x_0" localSheetId="62">'317'!$T$19:$T$28</definedName>
    <definedName name="OSRRefT16x_0" localSheetId="65">'321'!$T$17</definedName>
    <definedName name="OSRRefT16x_0" localSheetId="56">'324'!$T$17</definedName>
    <definedName name="OSRRefT16x_0" localSheetId="67">'325'!$T$17:$T$19</definedName>
    <definedName name="OSRRefT16x_0" localSheetId="59">'326'!$T$18:$T$20</definedName>
    <definedName name="OSRRefT16x_0" localSheetId="68">'327'!$T$18:$T$20</definedName>
    <definedName name="OSRRefT16x_0" localSheetId="52">'330'!$T$18:$T$27</definedName>
    <definedName name="OSRRefT16x_0" localSheetId="57">'331'!$T$19:$T$37</definedName>
    <definedName name="OSRRefT16x_0" localSheetId="50">'332'!$T$20</definedName>
    <definedName name="OSRRefT16x_0" localSheetId="72">'405'!$T$19:$T$21</definedName>
    <definedName name="OSRRefT16x_0" localSheetId="78">'415'!$T$19:$T$21</definedName>
    <definedName name="OSRRefT16x_0" localSheetId="79">'418'!$T$17:$T$18</definedName>
    <definedName name="OSRRefT16x_0" localSheetId="82">'425'!$T$15</definedName>
    <definedName name="OSRRefT16x_0" localSheetId="86">'433'!$T$19:$T$21</definedName>
    <definedName name="OSRRefT16x_0" localSheetId="87">'444'!$T$19:$T$21</definedName>
    <definedName name="OSRRefT16x_0" localSheetId="88">'450'!$T$19:$T$21</definedName>
    <definedName name="OSRRefT16x_0" localSheetId="71">'491'!$T$19:$T$21</definedName>
    <definedName name="OSRRefT16x_0" localSheetId="84">'492'!$T$19:$T$21</definedName>
    <definedName name="OSRRefT16x_0" localSheetId="47">'Div 3'!$T$23:$T$51</definedName>
    <definedName name="OSRRefT16x_0" localSheetId="69">'Div 4'!$T$21:$T$23</definedName>
    <definedName name="OSRRefT16x_0" localSheetId="61">'Div 6'!$T$19:$T$28</definedName>
    <definedName name="OSRRefT16x_0" localSheetId="2">Summary!$T$25:$T$59</definedName>
    <definedName name="OSRRefT22_0x_0" localSheetId="40">'200'!$T$20</definedName>
    <definedName name="OSRRefT22_0x_0" localSheetId="41">'201'!$T$20:$T$28</definedName>
    <definedName name="OSRRefT22_0x_0" localSheetId="42">'202'!$T$20:$T$28</definedName>
    <definedName name="OSRRefT22_0x_0" localSheetId="43">'203'!$T$20:$T$29</definedName>
    <definedName name="OSRRefT22_0x_0" localSheetId="44">'204'!$T$20:$T$28</definedName>
    <definedName name="OSRRefT22_0x_0" localSheetId="45">'205'!$T$20:$T$28</definedName>
    <definedName name="OSRRefT22_0x_0" localSheetId="46">'206'!$T$20:$T$28</definedName>
    <definedName name="OSRRefT22_0x_0" localSheetId="48">'300'!$T$53:$T$62</definedName>
    <definedName name="OSRRefT22_0x_0" localSheetId="49">'300 &amp; 317'!$T$59:$T$68</definedName>
    <definedName name="OSRRefT22_0x_0" localSheetId="51">'301'!$T$20:$T$29</definedName>
    <definedName name="OSRRefT22_0x_0" localSheetId="53">'307'!$T$33:$T$40</definedName>
    <definedName name="OSRRefT22_0x_0" localSheetId="54">'308'!$T$34:$T$43</definedName>
    <definedName name="OSRRefT22_0x_0" localSheetId="64">'309'!$T$20</definedName>
    <definedName name="OSRRefT22_0x_0" localSheetId="63">'310'!$T$27:$T$35</definedName>
    <definedName name="OSRRefT22_0x_0" localSheetId="70">'310 &amp; 491'!$T$29:$T$37</definedName>
    <definedName name="OSRRefT22_0x_0" localSheetId="55">'311'!$T$34:$T$43</definedName>
    <definedName name="OSRRefT22_0x_0" localSheetId="58">'315'!$T$43:$T$51</definedName>
    <definedName name="OSRRefT22_0x_0" localSheetId="60">'316'!$T$26:$T$34</definedName>
    <definedName name="OSRRefT22_0x_0" localSheetId="62">'317'!$T$34:$T$43</definedName>
    <definedName name="OSRRefT22_0x_0" localSheetId="65">'321'!$T$23:$T$31</definedName>
    <definedName name="OSRRefT22_0x_0" localSheetId="66">'322'!$T$20</definedName>
    <definedName name="OSRRefT22_0x_0" localSheetId="67">'325'!$T$25:$T$32</definedName>
    <definedName name="OSRRefT22_0x_0" localSheetId="59">'326'!$T$26:$T$34</definedName>
    <definedName name="OSRRefT22_0x_0" localSheetId="68">'327'!$T$26</definedName>
    <definedName name="OSRRefT22_0x_0" localSheetId="52">'330'!$T$33:$T$40</definedName>
    <definedName name="OSRRefT22_0x_0" localSheetId="57">'331'!$T$43:$T$51</definedName>
    <definedName name="OSRRefT22_0x_0" localSheetId="50">'332'!$T$26:$T$34</definedName>
    <definedName name="OSRRefT22_0x_0" localSheetId="72">'405'!$T$27:$T$35</definedName>
    <definedName name="OSRRefT22_0x_0" localSheetId="73">'406'!$T$20</definedName>
    <definedName name="OSRRefT22_0x_0" localSheetId="74">'411'!$T$20:$T$28</definedName>
    <definedName name="OSRRefT22_0x_0" localSheetId="75">'412'!$T$20</definedName>
    <definedName name="OSRRefT22_0x_0" localSheetId="76">'413'!$T$20</definedName>
    <definedName name="OSRRefT22_0x_0" localSheetId="77">'414'!$T$20</definedName>
    <definedName name="OSRRefT22_0x_0" localSheetId="78">'415'!$T$27:$T$35</definedName>
    <definedName name="OSRRefT22_0x_0" localSheetId="79">'418'!$T$24:$T$32</definedName>
    <definedName name="OSRRefT22_0x_0" localSheetId="80">'423'!$T$20:$T$27</definedName>
    <definedName name="OSRRefT22_0x_0" localSheetId="81">'424'!$T$20</definedName>
    <definedName name="OSRRefT22_0x_0" localSheetId="82">'425'!$T$21</definedName>
    <definedName name="OSRRefT22_0x_0" localSheetId="85">'430'!$T$20:$T$28</definedName>
    <definedName name="OSRRefT22_0x_0" localSheetId="86">'433'!$T$27:$T$36</definedName>
    <definedName name="OSRRefT22_0x_0" localSheetId="87">'444'!$T$27:$T$36</definedName>
    <definedName name="OSRRefT22_0x_0" localSheetId="88">'450'!$T$27:$T$36</definedName>
    <definedName name="OSRRefT22_0x_0" localSheetId="71">'491'!$T$27:$T$35</definedName>
    <definedName name="OSRRefT22_0x_0" localSheetId="84">'492'!$T$27:$T$36</definedName>
    <definedName name="OSRRefT22_0x_0" localSheetId="90">'501'!$T$21:$T$29</definedName>
    <definedName name="OSRRefT22_0x_0" localSheetId="39">'Div 2'!$T$20:$T$30</definedName>
    <definedName name="OSRRefT22_0x_0" localSheetId="47">'Div 3'!$T$57:$T$66</definedName>
    <definedName name="OSRRefT22_0x_0" localSheetId="69">'Div 4'!$T$29:$T$38</definedName>
    <definedName name="OSRRefT22_0x_0" localSheetId="89">'Div 5'!$T$21:$T$29</definedName>
    <definedName name="OSRRefT22_0x_0" localSheetId="61">'Div 6'!$T$34:$T$43</definedName>
    <definedName name="OSRRefT22_0x_0" localSheetId="2">Summary!$T$65:$T$74</definedName>
    <definedName name="OSRRefT22_10x_0" localSheetId="41">'201'!$T$59</definedName>
    <definedName name="OSRRefT22_10x_0" localSheetId="42">'202'!$T$59</definedName>
    <definedName name="OSRRefT22_10x_0" localSheetId="43">'203'!$T$61</definedName>
    <definedName name="OSRRefT22_10x_0" localSheetId="48">'300'!$T$93:$T$94</definedName>
    <definedName name="OSRRefT22_10x_0" localSheetId="49">'300 &amp; 317'!$T$99:$T$100</definedName>
    <definedName name="OSRRefT22_10x_0" localSheetId="51">'301'!$T$59</definedName>
    <definedName name="OSRRefT22_10x_0" localSheetId="53">'307'!$T$71:$T$72</definedName>
    <definedName name="OSRRefT22_10x_0" localSheetId="54">'308'!$T$74:$T$75</definedName>
    <definedName name="OSRRefT22_10x_0" localSheetId="63">'310'!$T$65:$T$67</definedName>
    <definedName name="OSRRefT22_10x_0" localSheetId="70">'310 &amp; 491'!$T$67</definedName>
    <definedName name="OSRRefT22_10x_0" localSheetId="55">'311'!$T$74:$T$75</definedName>
    <definedName name="OSRRefT22_10x_0" localSheetId="58">'315'!$T$81</definedName>
    <definedName name="OSRRefT22_10x_0" localSheetId="60">'316'!$T$68</definedName>
    <definedName name="OSRRefT22_10x_0" localSheetId="65">'321'!$T$64</definedName>
    <definedName name="OSRRefT22_10x_0" localSheetId="67">'325'!$T$62:$T$64</definedName>
    <definedName name="OSRRefT22_10x_0" localSheetId="59">'326'!$T$63</definedName>
    <definedName name="OSRRefT22_10x_0" localSheetId="52">'330'!$T$71:$T$72</definedName>
    <definedName name="OSRRefT22_10x_0" localSheetId="57">'331'!$T$82</definedName>
    <definedName name="OSRRefT22_10x_0" localSheetId="50">'332'!$T$68</definedName>
    <definedName name="OSRRefT22_10x_0" localSheetId="72">'405'!$T$66:$T$69</definedName>
    <definedName name="OSRRefT22_10x_0" localSheetId="74">'411'!$T$62</definedName>
    <definedName name="OSRRefT22_10x_0" localSheetId="78">'415'!$T$65:$T$66</definedName>
    <definedName name="OSRRefT22_10x_0" localSheetId="79">'418'!$T$66</definedName>
    <definedName name="OSRRefT22_10x_0" localSheetId="86">'433'!$T$65</definedName>
    <definedName name="OSRRefT22_10x_0" localSheetId="87">'444'!$T$65</definedName>
    <definedName name="OSRRefT22_10x_0" localSheetId="88">'450'!$T$65</definedName>
    <definedName name="OSRRefT22_10x_0" localSheetId="71">'491'!$T$65</definedName>
    <definedName name="OSRRefT22_10x_0" localSheetId="84">'492'!$T$65</definedName>
    <definedName name="OSRRefT22_10x_0" localSheetId="90">'501'!$T$61</definedName>
    <definedName name="OSRRefT22_10x_0" localSheetId="39">'Div 2'!$T$60</definedName>
    <definedName name="OSRRefT22_10x_0" localSheetId="47">'Div 3'!$T$97:$T$98</definedName>
    <definedName name="OSRRefT22_10x_0" localSheetId="69">'Div 4'!$T$68</definedName>
    <definedName name="OSRRefT22_10x_0" localSheetId="89">'Div 5'!$T$61</definedName>
    <definedName name="OSRRefT22_10x_0" localSheetId="2">Summary!$T$105:$T$106</definedName>
    <definedName name="OSRRefT22_11x_0" localSheetId="41">'201'!$T$61:$T$62</definedName>
    <definedName name="OSRRefT22_11x_0" localSheetId="42">'202'!$T$61</definedName>
    <definedName name="OSRRefT22_11x_0" localSheetId="43">'203'!$T$63:$T$66</definedName>
    <definedName name="OSRRefT22_11x_0" localSheetId="48">'300'!$T$96:$T$97</definedName>
    <definedName name="OSRRefT22_11x_0" localSheetId="49">'300 &amp; 317'!$T$102:$T$103</definedName>
    <definedName name="OSRRefT22_11x_0" localSheetId="51">'301'!$T$61</definedName>
    <definedName name="OSRRefT22_11x_0" localSheetId="53">'307'!$T$74:$T$76</definedName>
    <definedName name="OSRRefT22_11x_0" localSheetId="54">'308'!$T$77:$T$78</definedName>
    <definedName name="OSRRefT22_11x_0" localSheetId="63">'310'!$T$69</definedName>
    <definedName name="OSRRefT22_11x_0" localSheetId="70">'310 &amp; 491'!$T$69</definedName>
    <definedName name="OSRRefT22_11x_0" localSheetId="55">'311'!$T$77:$T$78</definedName>
    <definedName name="OSRRefT22_11x_0" localSheetId="58">'315'!$T$83:$T$84</definedName>
    <definedName name="OSRRefT22_11x_0" localSheetId="65">'321'!$T$66</definedName>
    <definedName name="OSRRefT22_11x_0" localSheetId="67">'325'!$T$66:$T$68</definedName>
    <definedName name="OSRRefT22_11x_0" localSheetId="59">'326'!$T$65:$T$66</definedName>
    <definedName name="OSRRefT22_11x_0" localSheetId="52">'330'!$T$74:$T$76</definedName>
    <definedName name="OSRRefT22_11x_0" localSheetId="57">'331'!$T$84</definedName>
    <definedName name="OSRRefT22_11x_0" localSheetId="72">'405'!$T$71</definedName>
    <definedName name="OSRRefT22_11x_0" localSheetId="74">'411'!$T$64</definedName>
    <definedName name="OSRRefT22_11x_0" localSheetId="78">'415'!$T$68:$T$71</definedName>
    <definedName name="OSRRefT22_11x_0" localSheetId="79">'418'!$T$68:$T$75</definedName>
    <definedName name="OSRRefT22_11x_0" localSheetId="86">'433'!$T$67:$T$69</definedName>
    <definedName name="OSRRefT22_11x_0" localSheetId="87">'444'!$T$67:$T$68</definedName>
    <definedName name="OSRRefT22_11x_0" localSheetId="88">'450'!$T$67:$T$69</definedName>
    <definedName name="OSRRefT22_11x_0" localSheetId="71">'491'!$T$67</definedName>
    <definedName name="OSRRefT22_11x_0" localSheetId="84">'492'!$T$67</definedName>
    <definedName name="OSRRefT22_11x_0" localSheetId="90">'501'!$T$63:$T$64</definedName>
    <definedName name="OSRRefT22_11x_0" localSheetId="39">'Div 2'!$T$62</definedName>
    <definedName name="OSRRefT22_11x_0" localSheetId="47">'Div 3'!$T$100:$T$101</definedName>
    <definedName name="OSRRefT22_11x_0" localSheetId="69">'Div 4'!$T$70</definedName>
    <definedName name="OSRRefT22_11x_0" localSheetId="89">'Div 5'!$T$63:$T$64</definedName>
    <definedName name="OSRRefT22_11x_0" localSheetId="2">Summary!$T$108:$T$109</definedName>
    <definedName name="OSRRefT22_12x_0" localSheetId="41">'201'!$T$64</definedName>
    <definedName name="OSRRefT22_12x_0" localSheetId="43">'203'!$T$68</definedName>
    <definedName name="OSRRefT22_12x_0" localSheetId="48">'300'!$T$99</definedName>
    <definedName name="OSRRefT22_12x_0" localSheetId="49">'300 &amp; 317'!$T$105</definedName>
    <definedName name="OSRRefT22_12x_0" localSheetId="51">'301'!$T$63</definedName>
    <definedName name="OSRRefT22_12x_0" localSheetId="53">'307'!$T$78</definedName>
    <definedName name="OSRRefT22_12x_0" localSheetId="63">'310'!$T$71:$T$73</definedName>
    <definedName name="OSRRefT22_12x_0" localSheetId="70">'310 &amp; 491'!$T$71:$T$73</definedName>
    <definedName name="OSRRefT22_12x_0" localSheetId="58">'315'!$T$86:$T$88</definedName>
    <definedName name="OSRRefT22_12x_0" localSheetId="67">'325'!$T$70:$T$74</definedName>
    <definedName name="OSRRefT22_12x_0" localSheetId="59">'326'!$T$68:$T$69</definedName>
    <definedName name="OSRRefT22_12x_0" localSheetId="52">'330'!$T$78</definedName>
    <definedName name="OSRRefT22_12x_0" localSheetId="57">'331'!$T$86</definedName>
    <definedName name="OSRRefT22_12x_0" localSheetId="72">'405'!$T$73:$T$80</definedName>
    <definedName name="OSRRefT22_12x_0" localSheetId="74">'411'!$T$66</definedName>
    <definedName name="OSRRefT22_12x_0" localSheetId="78">'415'!$T$73</definedName>
    <definedName name="OSRRefT22_12x_0" localSheetId="79">'418'!$T$77:$T$78</definedName>
    <definedName name="OSRRefT22_12x_0" localSheetId="86">'433'!$T$71:$T$74</definedName>
    <definedName name="OSRRefT22_12x_0" localSheetId="87">'444'!$T$70:$T$73</definedName>
    <definedName name="OSRRefT22_12x_0" localSheetId="88">'450'!$T$71:$T$74</definedName>
    <definedName name="OSRRefT22_12x_0" localSheetId="71">'491'!$T$69:$T$71</definedName>
    <definedName name="OSRRefT22_12x_0" localSheetId="84">'492'!$T$69:$T$71</definedName>
    <definedName name="OSRRefT22_12x_0" localSheetId="90">'501'!$T$66</definedName>
    <definedName name="OSRRefT22_12x_0" localSheetId="39">'Div 2'!$T$64:$T$67</definedName>
    <definedName name="OSRRefT22_12x_0" localSheetId="47">'Div 3'!$T$103</definedName>
    <definedName name="OSRRefT22_12x_0" localSheetId="69">'Div 4'!$T$72</definedName>
    <definedName name="OSRRefT22_12x_0" localSheetId="89">'Div 5'!$T$66</definedName>
    <definedName name="OSRRefT22_12x_0" localSheetId="2">Summary!$T$111</definedName>
    <definedName name="OSRRefT22_13x_0" localSheetId="43">'203'!$T$70</definedName>
    <definedName name="OSRRefT22_13x_0" localSheetId="48">'300'!$T$101</definedName>
    <definedName name="OSRRefT22_13x_0" localSheetId="49">'300 &amp; 317'!$T$107</definedName>
    <definedName name="OSRRefT22_13x_0" localSheetId="51">'301'!$T$65</definedName>
    <definedName name="OSRRefT22_13x_0" localSheetId="63">'310'!$T$75:$T$79</definedName>
    <definedName name="OSRRefT22_13x_0" localSheetId="70">'310 &amp; 491'!$T$75</definedName>
    <definedName name="OSRRefT22_13x_0" localSheetId="58">'315'!$T$90:$T$91</definedName>
    <definedName name="OSRRefT22_13x_0" localSheetId="67">'325'!$T$76:$T$77</definedName>
    <definedName name="OSRRefT22_13x_0" localSheetId="59">'326'!$T$71:$T$72</definedName>
    <definedName name="OSRRefT22_13x_0" localSheetId="57">'331'!$T$88:$T$89</definedName>
    <definedName name="OSRRefT22_13x_0" localSheetId="72">'405'!$T$82</definedName>
    <definedName name="OSRRefT22_13x_0" localSheetId="74">'411'!$T$68</definedName>
    <definedName name="OSRRefT22_13x_0" localSheetId="78">'415'!$T$75:$T$80</definedName>
    <definedName name="OSRRefT22_13x_0" localSheetId="79">'418'!$T$80</definedName>
    <definedName name="OSRRefT22_13x_0" localSheetId="86">'433'!$T$76:$T$83</definedName>
    <definedName name="OSRRefT22_13x_0" localSheetId="87">'444'!$T$75:$T$81</definedName>
    <definedName name="OSRRefT22_13x_0" localSheetId="88">'450'!$T$76:$T$82</definedName>
    <definedName name="OSRRefT22_13x_0" localSheetId="71">'491'!$T$73:$T$77</definedName>
    <definedName name="OSRRefT22_13x_0" localSheetId="84">'492'!$T$73:$T$76</definedName>
    <definedName name="OSRRefT22_13x_0" localSheetId="39">'Div 2'!$T$69:$T$72</definedName>
    <definedName name="OSRRefT22_13x_0" localSheetId="47">'Div 3'!$T$105</definedName>
    <definedName name="OSRRefT22_13x_0" localSheetId="69">'Div 4'!$T$74</definedName>
    <definedName name="OSRRefT22_13x_0" localSheetId="2">Summary!$T$113</definedName>
    <definedName name="OSRRefT22_14x_0" localSheetId="48">'300'!$T$103</definedName>
    <definedName name="OSRRefT22_14x_0" localSheetId="49">'300 &amp; 317'!$T$109</definedName>
    <definedName name="OSRRefT22_14x_0" localSheetId="51">'301'!$T$67:$T$70</definedName>
    <definedName name="OSRRefT22_14x_0" localSheetId="63">'310'!$T$81:$T$82</definedName>
    <definedName name="OSRRefT22_14x_0" localSheetId="70">'310 &amp; 491'!$T$77:$T$81</definedName>
    <definedName name="OSRRefT22_14x_0" localSheetId="58">'315'!$T$93:$T$95</definedName>
    <definedName name="OSRRefT22_14x_0" localSheetId="67">'325'!$T$79</definedName>
    <definedName name="OSRRefT22_14x_0" localSheetId="59">'326'!$T$74:$T$76</definedName>
    <definedName name="OSRRefT22_14x_0" localSheetId="57">'331'!$T$91:$T$93</definedName>
    <definedName name="OSRRefT22_14x_0" localSheetId="72">'405'!$T$84</definedName>
    <definedName name="OSRRefT22_14x_0" localSheetId="78">'415'!$T$82:$T$83</definedName>
    <definedName name="OSRRefT22_14x_0" localSheetId="79">'418'!$T$82</definedName>
    <definedName name="OSRRefT22_14x_0" localSheetId="86">'433'!$T$85</definedName>
    <definedName name="OSRRefT22_14x_0" localSheetId="87">'444'!$T$83</definedName>
    <definedName name="OSRRefT22_14x_0" localSheetId="88">'450'!$T$84</definedName>
    <definedName name="OSRRefT22_14x_0" localSheetId="71">'491'!$T$79</definedName>
    <definedName name="OSRRefT22_14x_0" localSheetId="84">'492'!$T$78:$T$85</definedName>
    <definedName name="OSRRefT22_14x_0" localSheetId="39">'Div 2'!$T$74:$T$75</definedName>
    <definedName name="OSRRefT22_14x_0" localSheetId="47">'Div 3'!$T$107</definedName>
    <definedName name="OSRRefT22_14x_0" localSheetId="69">'Div 4'!$T$76:$T$78</definedName>
    <definedName name="OSRRefT22_14x_0" localSheetId="2">Summary!$T$115</definedName>
    <definedName name="OSRRefT22_15x_0" localSheetId="48">'300'!$T$105</definedName>
    <definedName name="OSRRefT22_15x_0" localSheetId="49">'300 &amp; 317'!$T$111</definedName>
    <definedName name="OSRRefT22_15x_0" localSheetId="51">'301'!$T$72:$T$73</definedName>
    <definedName name="OSRRefT22_15x_0" localSheetId="63">'310'!$T$84</definedName>
    <definedName name="OSRRefT22_15x_0" localSheetId="70">'310 &amp; 491'!$T$83</definedName>
    <definedName name="OSRRefT22_15x_0" localSheetId="58">'315'!$T$97</definedName>
    <definedName name="OSRRefT22_15x_0" localSheetId="59">'326'!$T$78</definedName>
    <definedName name="OSRRefT22_15x_0" localSheetId="57">'331'!$T$95:$T$96</definedName>
    <definedName name="OSRRefT22_15x_0" localSheetId="72">'405'!$T$86</definedName>
    <definedName name="OSRRefT22_15x_0" localSheetId="78">'415'!$T$85</definedName>
    <definedName name="OSRRefT22_15x_0" localSheetId="87">'444'!$T$85</definedName>
    <definedName name="OSRRefT22_15x_0" localSheetId="88">'450'!$T$86</definedName>
    <definedName name="OSRRefT22_15x_0" localSheetId="71">'491'!$T$81:$T$89</definedName>
    <definedName name="OSRRefT22_15x_0" localSheetId="84">'492'!$T$87:$T$88</definedName>
    <definedName name="OSRRefT22_15x_0" localSheetId="39">'Div 2'!$T$77</definedName>
    <definedName name="OSRRefT22_15x_0" localSheetId="47">'Div 3'!$T$109</definedName>
    <definedName name="OSRRefT22_15x_0" localSheetId="69">'Div 4'!$T$80:$T$84</definedName>
    <definedName name="OSRRefT22_15x_0" localSheetId="2">Summary!$T$117</definedName>
    <definedName name="OSRRefT22_16x_0" localSheetId="48">'300'!$T$107:$T$110</definedName>
    <definedName name="OSRRefT22_16x_0" localSheetId="49">'300 &amp; 317'!$T$113:$T$116</definedName>
    <definedName name="OSRRefT22_16x_0" localSheetId="51">'301'!$T$75</definedName>
    <definedName name="OSRRefT22_16x_0" localSheetId="63">'310'!$T$86</definedName>
    <definedName name="OSRRefT22_16x_0" localSheetId="70">'310 &amp; 491'!$T$85:$T$94</definedName>
    <definedName name="OSRRefT22_16x_0" localSheetId="58">'315'!$T$99</definedName>
    <definedName name="OSRRefT22_16x_0" localSheetId="59">'326'!$T$80:$T$81</definedName>
    <definedName name="OSRRefT22_16x_0" localSheetId="57">'331'!$T$98:$T$99</definedName>
    <definedName name="OSRRefT22_16x_0" localSheetId="78">'415'!$T$87</definedName>
    <definedName name="OSRRefT22_16x_0" localSheetId="88">'450'!$T$88</definedName>
    <definedName name="OSRRefT22_16x_0" localSheetId="71">'491'!$T$91:$T$92</definedName>
    <definedName name="OSRRefT22_16x_0" localSheetId="84">'492'!$T$90</definedName>
    <definedName name="OSRRefT22_16x_0" localSheetId="39">'Div 2'!$T$79:$T$84</definedName>
    <definedName name="OSRRefT22_16x_0" localSheetId="47">'Div 3'!$T$111</definedName>
    <definedName name="OSRRefT22_16x_0" localSheetId="69">'Div 4'!$T$86</definedName>
    <definedName name="OSRRefT22_16x_0" localSheetId="2">Summary!$T$119</definedName>
    <definedName name="OSRRefT22_17x_0" localSheetId="48">'300'!$T$112:$T$115</definedName>
    <definedName name="OSRRefT22_17x_0" localSheetId="49">'300 &amp; 317'!$T$118:$T$121</definedName>
    <definedName name="OSRRefT22_17x_0" localSheetId="51">'301'!$T$77:$T$82</definedName>
    <definedName name="OSRRefT22_17x_0" localSheetId="70">'310 &amp; 491'!$T$96:$T$97</definedName>
    <definedName name="OSRRefT22_17x_0" localSheetId="59">'326'!$T$83</definedName>
    <definedName name="OSRRefT22_17x_0" localSheetId="57">'331'!$T$101:$T$104</definedName>
    <definedName name="OSRRefT22_17x_0" localSheetId="71">'491'!$T$94</definedName>
    <definedName name="OSRRefT22_17x_0" localSheetId="84">'492'!$T$92:$T$93</definedName>
    <definedName name="OSRRefT22_17x_0" localSheetId="39">'Div 2'!$T$86:$T$87</definedName>
    <definedName name="OSRRefT22_17x_0" localSheetId="47">'Div 3'!$T$113:$T$116</definedName>
    <definedName name="OSRRefT22_17x_0" localSheetId="69">'Div 4'!$T$88:$T$97</definedName>
    <definedName name="OSRRefT22_17x_0" localSheetId="2">Summary!$T$121</definedName>
    <definedName name="OSRRefT22_18x_0" localSheetId="48">'300'!$T$117:$T$119</definedName>
    <definedName name="OSRRefT22_18x_0" localSheetId="49">'300 &amp; 317'!$T$123:$T$125</definedName>
    <definedName name="OSRRefT22_18x_0" localSheetId="51">'301'!$T$84</definedName>
    <definedName name="OSRRefT22_18x_0" localSheetId="70">'310 &amp; 491'!$T$99</definedName>
    <definedName name="OSRRefT22_18x_0" localSheetId="57">'331'!$T$106</definedName>
    <definedName name="OSRRefT22_18x_0" localSheetId="71">'491'!$T$96</definedName>
    <definedName name="OSRRefT22_18x_0" localSheetId="39">'Div 2'!$T$89</definedName>
    <definedName name="OSRRefT22_18x_0" localSheetId="47">'Div 3'!$T$118:$T$121</definedName>
    <definedName name="OSRRefT22_18x_0" localSheetId="69">'Div 4'!$T$99:$T$100</definedName>
    <definedName name="OSRRefT22_18x_0" localSheetId="2">Summary!$T$123:$T$126</definedName>
    <definedName name="OSRRefT22_19x_0" localSheetId="48">'300'!$T$121:$T$122</definedName>
    <definedName name="OSRRefT22_19x_0" localSheetId="49">'300 &amp; 317'!$T$127:$T$128</definedName>
    <definedName name="OSRRefT22_19x_0" localSheetId="51">'301'!$T$86</definedName>
    <definedName name="OSRRefT22_19x_0" localSheetId="70">'310 &amp; 491'!$T$101</definedName>
    <definedName name="OSRRefT22_19x_0" localSheetId="57">'331'!$T$108:$T$109</definedName>
    <definedName name="OSRRefT22_19x_0" localSheetId="39">'Div 2'!$T$91</definedName>
    <definedName name="OSRRefT22_19x_0" localSheetId="47">'Div 3'!$T$123:$T$126</definedName>
    <definedName name="OSRRefT22_19x_0" localSheetId="69">'Div 4'!$T$102</definedName>
    <definedName name="OSRRefT22_19x_0" localSheetId="2">Summary!$T$128:$T$131</definedName>
    <definedName name="OSRRefT22_1x_0" localSheetId="40">'200'!$T$22</definedName>
    <definedName name="OSRRefT22_1x_0" localSheetId="41">'201'!$T$30:$T$39</definedName>
    <definedName name="OSRRefT22_1x_0" localSheetId="42">'202'!$T$30:$T$39</definedName>
    <definedName name="OSRRefT22_1x_0" localSheetId="43">'203'!$T$31:$T$40</definedName>
    <definedName name="OSRRefT22_1x_0" localSheetId="44">'204'!$T$30:$T$39</definedName>
    <definedName name="OSRRefT22_1x_0" localSheetId="45">'205'!$T$30:$T$39</definedName>
    <definedName name="OSRRefT22_1x_0" localSheetId="46">'206'!$T$30:$T$39</definedName>
    <definedName name="OSRRefT22_1x_0" localSheetId="48">'300'!$T$64:$T$73</definedName>
    <definedName name="OSRRefT22_1x_0" localSheetId="49">'300 &amp; 317'!$T$70:$T$79</definedName>
    <definedName name="OSRRefT22_1x_0" localSheetId="51">'301'!$T$31:$T$40</definedName>
    <definedName name="OSRRefT22_1x_0" localSheetId="53">'307'!$T$42:$T$51</definedName>
    <definedName name="OSRRefT22_1x_0" localSheetId="54">'308'!$T$45:$T$54</definedName>
    <definedName name="OSRRefT22_1x_0" localSheetId="64">'309'!$T$22</definedName>
    <definedName name="OSRRefT22_1x_0" localSheetId="63">'310'!$T$37:$T$46</definedName>
    <definedName name="OSRRefT22_1x_0" localSheetId="70">'310 &amp; 491'!$T$39:$T$48</definedName>
    <definedName name="OSRRefT22_1x_0" localSheetId="55">'311'!$T$45:$T$54</definedName>
    <definedName name="OSRRefT22_1x_0" localSheetId="58">'315'!$T$53:$T$62</definedName>
    <definedName name="OSRRefT22_1x_0" localSheetId="60">'316'!$T$36:$T$45</definedName>
    <definedName name="OSRRefT22_1x_0" localSheetId="62">'317'!$T$45:$T$54</definedName>
    <definedName name="OSRRefT22_1x_0" localSheetId="65">'321'!$T$33:$T$42</definedName>
    <definedName name="OSRRefT22_1x_0" localSheetId="67">'325'!$T$34:$T$43</definedName>
    <definedName name="OSRRefT22_1x_0" localSheetId="59">'326'!$T$36:$T$45</definedName>
    <definedName name="OSRRefT22_1x_0" localSheetId="52">'330'!$T$42:$T$51</definedName>
    <definedName name="OSRRefT22_1x_0" localSheetId="57">'331'!$T$53:$T$62</definedName>
    <definedName name="OSRRefT22_1x_0" localSheetId="50">'332'!$T$36:$T$45</definedName>
    <definedName name="OSRRefT22_1x_0" localSheetId="72">'405'!$T$37:$T$46</definedName>
    <definedName name="OSRRefT22_1x_0" localSheetId="73">'406'!$T$22</definedName>
    <definedName name="OSRRefT22_1x_0" localSheetId="74">'411'!$T$30:$T$39</definedName>
    <definedName name="OSRRefT22_1x_0" localSheetId="75">'412'!$T$22</definedName>
    <definedName name="OSRRefT22_1x_0" localSheetId="76">'413'!$T$22</definedName>
    <definedName name="OSRRefT22_1x_0" localSheetId="77">'414'!$T$22</definedName>
    <definedName name="OSRRefT22_1x_0" localSheetId="78">'415'!$T$37:$T$46</definedName>
    <definedName name="OSRRefT22_1x_0" localSheetId="79">'418'!$T$34:$T$43</definedName>
    <definedName name="OSRRefT22_1x_0" localSheetId="80">'423'!$T$29:$T$38</definedName>
    <definedName name="OSRRefT22_1x_0" localSheetId="81">'424'!$T$22</definedName>
    <definedName name="OSRRefT22_1x_0" localSheetId="82">'425'!$T$23</definedName>
    <definedName name="OSRRefT22_1x_0" localSheetId="85">'430'!$T$30:$T$39</definedName>
    <definedName name="OSRRefT22_1x_0" localSheetId="86">'433'!$T$38:$T$47</definedName>
    <definedName name="OSRRefT22_1x_0" localSheetId="87">'444'!$T$38:$T$47</definedName>
    <definedName name="OSRRefT22_1x_0" localSheetId="88">'450'!$T$38:$T$47</definedName>
    <definedName name="OSRRefT22_1x_0" localSheetId="71">'491'!$T$37:$T$46</definedName>
    <definedName name="OSRRefT22_1x_0" localSheetId="84">'492'!$T$38:$T$47</definedName>
    <definedName name="OSRRefT22_1x_0" localSheetId="90">'501'!$T$31:$T$40</definedName>
    <definedName name="OSRRefT22_1x_0" localSheetId="39">'Div 2'!$T$32:$T$41</definedName>
    <definedName name="OSRRefT22_1x_0" localSheetId="47">'Div 3'!$T$68:$T$77</definedName>
    <definedName name="OSRRefT22_1x_0" localSheetId="69">'Div 4'!$T$40:$T$49</definedName>
    <definedName name="OSRRefT22_1x_0" localSheetId="89">'Div 5'!$T$31:$T$40</definedName>
    <definedName name="OSRRefT22_1x_0" localSheetId="61">'Div 6'!$T$45:$T$54</definedName>
    <definedName name="OSRRefT22_1x_0" localSheetId="2">Summary!$T$76:$T$85</definedName>
    <definedName name="OSRRefT22_20x_0" localSheetId="48">'300'!$T$124:$T$130</definedName>
    <definedName name="OSRRefT22_20x_0" localSheetId="49">'300 &amp; 317'!$T$130:$T$136</definedName>
    <definedName name="OSRRefT22_20x_0" localSheetId="51">'301'!$T$88</definedName>
    <definedName name="OSRRefT22_20x_0" localSheetId="57">'331'!$T$111</definedName>
    <definedName name="OSRRefT22_20x_0" localSheetId="47">'Div 3'!$T$128:$T$129</definedName>
    <definedName name="OSRRefT22_20x_0" localSheetId="69">'Div 4'!$T$104:$T$105</definedName>
    <definedName name="OSRRefT22_20x_0" localSheetId="2">Summary!$T$133:$T$137</definedName>
    <definedName name="OSRRefT22_21x_0" localSheetId="48">'300'!$T$132:$T$133</definedName>
    <definedName name="OSRRefT22_21x_0" localSheetId="49">'300 &amp; 317'!$T$138:$T$139</definedName>
    <definedName name="OSRRefT22_21x_0" localSheetId="51">'301'!$T$90</definedName>
    <definedName name="OSRRefT22_21x_0" localSheetId="47">'Div 3'!$T$131:$T$137</definedName>
    <definedName name="OSRRefT22_21x_0" localSheetId="69">'Div 4'!$T$107</definedName>
    <definedName name="OSRRefT22_21x_0" localSheetId="2">Summary!$T$139:$T$140</definedName>
    <definedName name="OSRRefT22_22x_0" localSheetId="48">'300'!$T$135</definedName>
    <definedName name="OSRRefT22_22x_0" localSheetId="49">'300 &amp; 317'!$T$141</definedName>
    <definedName name="OSRRefT22_22x_0" localSheetId="47">'Div 3'!$T$139:$T$140</definedName>
    <definedName name="OSRRefT22_22x_0" localSheetId="2">Summary!$T$142:$T$151</definedName>
    <definedName name="OSRRefT22_23x_0" localSheetId="48">'300'!$T$137:$T$139</definedName>
    <definedName name="OSRRefT22_23x_0" localSheetId="49">'300 &amp; 317'!$T$143:$T$145</definedName>
    <definedName name="OSRRefT22_23x_0" localSheetId="47">'Div 3'!$T$142</definedName>
    <definedName name="OSRRefT22_23x_0" localSheetId="2">Summary!$T$153:$T$154</definedName>
    <definedName name="OSRRefT22_24x_0" localSheetId="48">'300'!$T$141</definedName>
    <definedName name="OSRRefT22_24x_0" localSheetId="49">'300 &amp; 317'!$T$147</definedName>
    <definedName name="OSRRefT22_24x_0" localSheetId="47">'Div 3'!$T$144:$T$146</definedName>
    <definedName name="OSRRefT22_24x_0" localSheetId="2">Summary!$T$156</definedName>
    <definedName name="OSRRefT22_25x_0" localSheetId="47">'Div 3'!$T$148</definedName>
    <definedName name="OSRRefT22_25x_0" localSheetId="2">Summary!$T$158:$T$160</definedName>
    <definedName name="OSRRefT22_26x_0" localSheetId="2">Summary!$T$162</definedName>
    <definedName name="OSRRefT22_2x_0" localSheetId="40">'200'!$T$24</definedName>
    <definedName name="OSRRefT22_2x_0" localSheetId="41">'201'!$T$41</definedName>
    <definedName name="OSRRefT22_2x_0" localSheetId="42">'202'!$T$41</definedName>
    <definedName name="OSRRefT22_2x_0" localSheetId="43">'203'!$T$42</definedName>
    <definedName name="OSRRefT22_2x_0" localSheetId="44">'204'!$T$41</definedName>
    <definedName name="OSRRefT22_2x_0" localSheetId="45">'205'!$T$41</definedName>
    <definedName name="OSRRefT22_2x_0" localSheetId="46">'206'!$T$41</definedName>
    <definedName name="OSRRefT22_2x_0" localSheetId="48">'300'!$T$75</definedName>
    <definedName name="OSRRefT22_2x_0" localSheetId="49">'300 &amp; 317'!$T$81</definedName>
    <definedName name="OSRRefT22_2x_0" localSheetId="51">'301'!$T$42</definedName>
    <definedName name="OSRRefT22_2x_0" localSheetId="53">'307'!$T$53</definedName>
    <definedName name="OSRRefT22_2x_0" localSheetId="54">'308'!$T$56</definedName>
    <definedName name="OSRRefT22_2x_0" localSheetId="64">'309'!$T$24:$T$25</definedName>
    <definedName name="OSRRefT22_2x_0" localSheetId="63">'310'!$T$48</definedName>
    <definedName name="OSRRefT22_2x_0" localSheetId="70">'310 &amp; 491'!$T$50</definedName>
    <definedName name="OSRRefT22_2x_0" localSheetId="55">'311'!$T$56</definedName>
    <definedName name="OSRRefT22_2x_0" localSheetId="58">'315'!$T$64</definedName>
    <definedName name="OSRRefT22_2x_0" localSheetId="60">'316'!$T$47</definedName>
    <definedName name="OSRRefT22_2x_0" localSheetId="62">'317'!$T$56</definedName>
    <definedName name="OSRRefT22_2x_0" localSheetId="65">'321'!$T$44</definedName>
    <definedName name="OSRRefT22_2x_0" localSheetId="67">'325'!$T$45</definedName>
    <definedName name="OSRRefT22_2x_0" localSheetId="59">'326'!$T$47</definedName>
    <definedName name="OSRRefT22_2x_0" localSheetId="52">'330'!$T$53</definedName>
    <definedName name="OSRRefT22_2x_0" localSheetId="57">'331'!$T$64</definedName>
    <definedName name="OSRRefT22_2x_0" localSheetId="50">'332'!$T$47</definedName>
    <definedName name="OSRRefT22_2x_0" localSheetId="72">'405'!$T$48</definedName>
    <definedName name="OSRRefT22_2x_0" localSheetId="74">'411'!$T$41</definedName>
    <definedName name="OSRRefT22_2x_0" localSheetId="75">'412'!$T$24</definedName>
    <definedName name="OSRRefT22_2x_0" localSheetId="76">'413'!$T$24</definedName>
    <definedName name="OSRRefT22_2x_0" localSheetId="78">'415'!$T$48</definedName>
    <definedName name="OSRRefT22_2x_0" localSheetId="79">'418'!$T$45</definedName>
    <definedName name="OSRRefT22_2x_0" localSheetId="80">'423'!$T$40</definedName>
    <definedName name="OSRRefT22_2x_0" localSheetId="85">'430'!$T$41</definedName>
    <definedName name="OSRRefT22_2x_0" localSheetId="86">'433'!$T$49</definedName>
    <definedName name="OSRRefT22_2x_0" localSheetId="87">'444'!$T$49</definedName>
    <definedName name="OSRRefT22_2x_0" localSheetId="88">'450'!$T$49</definedName>
    <definedName name="OSRRefT22_2x_0" localSheetId="71">'491'!$T$48</definedName>
    <definedName name="OSRRefT22_2x_0" localSheetId="84">'492'!$T$49</definedName>
    <definedName name="OSRRefT22_2x_0" localSheetId="90">'501'!$T$42</definedName>
    <definedName name="OSRRefT22_2x_0" localSheetId="39">'Div 2'!$T$43</definedName>
    <definedName name="OSRRefT22_2x_0" localSheetId="47">'Div 3'!$T$79</definedName>
    <definedName name="OSRRefT22_2x_0" localSheetId="69">'Div 4'!$T$51</definedName>
    <definedName name="OSRRefT22_2x_0" localSheetId="89">'Div 5'!$T$42</definedName>
    <definedName name="OSRRefT22_2x_0" localSheetId="61">'Div 6'!$T$56</definedName>
    <definedName name="OSRRefT22_2x_0" localSheetId="2">Summary!$T$87</definedName>
    <definedName name="OSRRefT22_3x_0" localSheetId="40">'200'!$T$26:$T$27</definedName>
    <definedName name="OSRRefT22_3x_0" localSheetId="41">'201'!$T$43</definedName>
    <definedName name="OSRRefT22_3x_0" localSheetId="42">'202'!$T$43</definedName>
    <definedName name="OSRRefT22_3x_0" localSheetId="43">'203'!$T$44</definedName>
    <definedName name="OSRRefT22_3x_0" localSheetId="44">'204'!$T$43:$T$44</definedName>
    <definedName name="OSRRefT22_3x_0" localSheetId="45">'205'!$T$43</definedName>
    <definedName name="OSRRefT22_3x_0" localSheetId="46">'206'!$T$43</definedName>
    <definedName name="OSRRefT22_3x_0" localSheetId="48">'300'!$T$77</definedName>
    <definedName name="OSRRefT22_3x_0" localSheetId="49">'300 &amp; 317'!$T$83</definedName>
    <definedName name="OSRRefT22_3x_0" localSheetId="51">'301'!$T$44</definedName>
    <definedName name="OSRRefT22_3x_0" localSheetId="53">'307'!$T$55</definedName>
    <definedName name="OSRRefT22_3x_0" localSheetId="54">'308'!$T$58</definedName>
    <definedName name="OSRRefT22_3x_0" localSheetId="64">'309'!$T$27</definedName>
    <definedName name="OSRRefT22_3x_0" localSheetId="63">'310'!$T$50</definedName>
    <definedName name="OSRRefT22_3x_0" localSheetId="70">'310 &amp; 491'!$T$52</definedName>
    <definedName name="OSRRefT22_3x_0" localSheetId="55">'311'!$T$58</definedName>
    <definedName name="OSRRefT22_3x_0" localSheetId="58">'315'!$T$66</definedName>
    <definedName name="OSRRefT22_3x_0" localSheetId="60">'316'!$T$49</definedName>
    <definedName name="OSRRefT22_3x_0" localSheetId="62">'317'!$T$58</definedName>
    <definedName name="OSRRefT22_3x_0" localSheetId="65">'321'!$T$46</definedName>
    <definedName name="OSRRefT22_3x_0" localSheetId="67">'325'!$T$47</definedName>
    <definedName name="OSRRefT22_3x_0" localSheetId="59">'326'!$T$49</definedName>
    <definedName name="OSRRefT22_3x_0" localSheetId="52">'330'!$T$55</definedName>
    <definedName name="OSRRefT22_3x_0" localSheetId="57">'331'!$T$66</definedName>
    <definedName name="OSRRefT22_3x_0" localSheetId="50">'332'!$T$49</definedName>
    <definedName name="OSRRefT22_3x_0" localSheetId="72">'405'!$T$50</definedName>
    <definedName name="OSRRefT22_3x_0" localSheetId="74">'411'!$T$43:$T$44</definedName>
    <definedName name="OSRRefT22_3x_0" localSheetId="75">'412'!$T$26</definedName>
    <definedName name="OSRRefT22_3x_0" localSheetId="78">'415'!$T$50</definedName>
    <definedName name="OSRRefT22_3x_0" localSheetId="79">'418'!$T$47</definedName>
    <definedName name="OSRRefT22_3x_0" localSheetId="80">'423'!$T$42</definedName>
    <definedName name="OSRRefT22_3x_0" localSheetId="85">'430'!$T$43</definedName>
    <definedName name="OSRRefT22_3x_0" localSheetId="86">'433'!$T$51</definedName>
    <definedName name="OSRRefT22_3x_0" localSheetId="87">'444'!$T$51</definedName>
    <definedName name="OSRRefT22_3x_0" localSheetId="88">'450'!$T$51</definedName>
    <definedName name="OSRRefT22_3x_0" localSheetId="71">'491'!$T$50</definedName>
    <definedName name="OSRRefT22_3x_0" localSheetId="84">'492'!$T$51</definedName>
    <definedName name="OSRRefT22_3x_0" localSheetId="90">'501'!$T$44</definedName>
    <definedName name="OSRRefT22_3x_0" localSheetId="39">'Div 2'!$T$45</definedName>
    <definedName name="OSRRefT22_3x_0" localSheetId="47">'Div 3'!$T$81</definedName>
    <definedName name="OSRRefT22_3x_0" localSheetId="69">'Div 4'!$T$53</definedName>
    <definedName name="OSRRefT22_3x_0" localSheetId="89">'Div 5'!$T$44</definedName>
    <definedName name="OSRRefT22_3x_0" localSheetId="61">'Div 6'!$T$58</definedName>
    <definedName name="OSRRefT22_3x_0" localSheetId="2">Summary!$T$89</definedName>
    <definedName name="OSRRefT22_4x_0" localSheetId="41">'201'!$T$45</definedName>
    <definedName name="OSRRefT22_4x_0" localSheetId="42">'202'!$T$45</definedName>
    <definedName name="OSRRefT22_4x_0" localSheetId="43">'203'!$T$46</definedName>
    <definedName name="OSRRefT22_4x_0" localSheetId="44">'204'!$T$46</definedName>
    <definedName name="OSRRefT22_4x_0" localSheetId="45">'205'!$T$45:$T$46</definedName>
    <definedName name="OSRRefT22_4x_0" localSheetId="46">'206'!$T$45:$T$46</definedName>
    <definedName name="OSRRefT22_4x_0" localSheetId="48">'300'!$T$79</definedName>
    <definedName name="OSRRefT22_4x_0" localSheetId="49">'300 &amp; 317'!$T$85</definedName>
    <definedName name="OSRRefT22_4x_0" localSheetId="51">'301'!$T$46</definedName>
    <definedName name="OSRRefT22_4x_0" localSheetId="53">'307'!$T$57</definedName>
    <definedName name="OSRRefT22_4x_0" localSheetId="54">'308'!$T$60</definedName>
    <definedName name="OSRRefT22_4x_0" localSheetId="63">'310'!$T$52</definedName>
    <definedName name="OSRRefT22_4x_0" localSheetId="70">'310 &amp; 491'!$T$54</definedName>
    <definedName name="OSRRefT22_4x_0" localSheetId="55">'311'!$T$60</definedName>
    <definedName name="OSRRefT22_4x_0" localSheetId="58">'315'!$T$68</definedName>
    <definedName name="OSRRefT22_4x_0" localSheetId="60">'316'!$T$51</definedName>
    <definedName name="OSRRefT22_4x_0" localSheetId="62">'317'!$T$60</definedName>
    <definedName name="OSRRefT22_4x_0" localSheetId="65">'321'!$T$48</definedName>
    <definedName name="OSRRefT22_4x_0" localSheetId="67">'325'!$T$49</definedName>
    <definedName name="OSRRefT22_4x_0" localSheetId="59">'326'!$T$51</definedName>
    <definedName name="OSRRefT22_4x_0" localSheetId="52">'330'!$T$57</definedName>
    <definedName name="OSRRefT22_4x_0" localSheetId="57">'331'!$T$68</definedName>
    <definedName name="OSRRefT22_4x_0" localSheetId="50">'332'!$T$51</definedName>
    <definedName name="OSRRefT22_4x_0" localSheetId="72">'405'!$T$52</definedName>
    <definedName name="OSRRefT22_4x_0" localSheetId="74">'411'!$T$46</definedName>
    <definedName name="OSRRefT22_4x_0" localSheetId="78">'415'!$T$52</definedName>
    <definedName name="OSRRefT22_4x_0" localSheetId="79">'418'!$T$49:$T$50</definedName>
    <definedName name="OSRRefT22_4x_0" localSheetId="80">'423'!$T$44</definedName>
    <definedName name="OSRRefT22_4x_0" localSheetId="85">'430'!$T$45:$T$46</definedName>
    <definedName name="OSRRefT22_4x_0" localSheetId="86">'433'!$T$53</definedName>
    <definedName name="OSRRefT22_4x_0" localSheetId="87">'444'!$T$53</definedName>
    <definedName name="OSRRefT22_4x_0" localSheetId="88">'450'!$T$53</definedName>
    <definedName name="OSRRefT22_4x_0" localSheetId="71">'491'!$T$52</definedName>
    <definedName name="OSRRefT22_4x_0" localSheetId="84">'492'!$T$53</definedName>
    <definedName name="OSRRefT22_4x_0" localSheetId="90">'501'!$T$46</definedName>
    <definedName name="OSRRefT22_4x_0" localSheetId="39">'Div 2'!$T$47</definedName>
    <definedName name="OSRRefT22_4x_0" localSheetId="47">'Div 3'!$T$83</definedName>
    <definedName name="OSRRefT22_4x_0" localSheetId="69">'Div 4'!$T$55</definedName>
    <definedName name="OSRRefT22_4x_0" localSheetId="89">'Div 5'!$T$46</definedName>
    <definedName name="OSRRefT22_4x_0" localSheetId="61">'Div 6'!$T$60</definedName>
    <definedName name="OSRRefT22_4x_0" localSheetId="2">Summary!$T$91</definedName>
    <definedName name="OSRRefT22_5x_0" localSheetId="41">'201'!$T$47</definedName>
    <definedName name="OSRRefT22_5x_0" localSheetId="42">'202'!$T$47</definedName>
    <definedName name="OSRRefT22_5x_0" localSheetId="43">'203'!$T$48</definedName>
    <definedName name="OSRRefT22_5x_0" localSheetId="44">'204'!$T$48:$T$51</definedName>
    <definedName name="OSRRefT22_5x_0" localSheetId="45">'205'!$T$48</definedName>
    <definedName name="OSRRefT22_5x_0" localSheetId="46">'206'!$T$48</definedName>
    <definedName name="OSRRefT22_5x_0" localSheetId="48">'300'!$T$81:$T$82</definedName>
    <definedName name="OSRRefT22_5x_0" localSheetId="49">'300 &amp; 317'!$T$87:$T$88</definedName>
    <definedName name="OSRRefT22_5x_0" localSheetId="51">'301'!$T$48:$T$49</definedName>
    <definedName name="OSRRefT22_5x_0" localSheetId="53">'307'!$T$59:$T$60</definedName>
    <definedName name="OSRRefT22_5x_0" localSheetId="54">'308'!$T$62</definedName>
    <definedName name="OSRRefT22_5x_0" localSheetId="63">'310'!$T$54:$T$55</definedName>
    <definedName name="OSRRefT22_5x_0" localSheetId="70">'310 &amp; 491'!$T$56:$T$57</definedName>
    <definedName name="OSRRefT22_5x_0" localSheetId="55">'311'!$T$62</definedName>
    <definedName name="OSRRefT22_5x_0" localSheetId="58">'315'!$T$70</definedName>
    <definedName name="OSRRefT22_5x_0" localSheetId="60">'316'!$T$53:$T$54</definedName>
    <definedName name="OSRRefT22_5x_0" localSheetId="62">'317'!$T$62</definedName>
    <definedName name="OSRRefT22_5x_0" localSheetId="65">'321'!$T$50</definedName>
    <definedName name="OSRRefT22_5x_0" localSheetId="67">'325'!$T$51:$T$52</definedName>
    <definedName name="OSRRefT22_5x_0" localSheetId="59">'326'!$T$53</definedName>
    <definedName name="OSRRefT22_5x_0" localSheetId="52">'330'!$T$59:$T$60</definedName>
    <definedName name="OSRRefT22_5x_0" localSheetId="57">'331'!$T$70</definedName>
    <definedName name="OSRRefT22_5x_0" localSheetId="50">'332'!$T$53:$T$54</definedName>
    <definedName name="OSRRefT22_5x_0" localSheetId="72">'405'!$T$54:$T$55</definedName>
    <definedName name="OSRRefT22_5x_0" localSheetId="74">'411'!$T$48</definedName>
    <definedName name="OSRRefT22_5x_0" localSheetId="78">'415'!$T$54:$T$55</definedName>
    <definedName name="OSRRefT22_5x_0" localSheetId="79">'418'!$T$52</definedName>
    <definedName name="OSRRefT22_5x_0" localSheetId="80">'423'!$T$46</definedName>
    <definedName name="OSRRefT22_5x_0" localSheetId="85">'430'!$T$48:$T$49</definedName>
    <definedName name="OSRRefT22_5x_0" localSheetId="86">'433'!$T$55</definedName>
    <definedName name="OSRRefT22_5x_0" localSheetId="87">'444'!$T$55</definedName>
    <definedName name="OSRRefT22_5x_0" localSheetId="88">'450'!$T$55</definedName>
    <definedName name="OSRRefT22_5x_0" localSheetId="71">'491'!$T$54:$T$55</definedName>
    <definedName name="OSRRefT22_5x_0" localSheetId="84">'492'!$T$55</definedName>
    <definedName name="OSRRefT22_5x_0" localSheetId="90">'501'!$T$48:$T$49</definedName>
    <definedName name="OSRRefT22_5x_0" localSheetId="39">'Div 2'!$T$49:$T$50</definedName>
    <definedName name="OSRRefT22_5x_0" localSheetId="47">'Div 3'!$T$85:$T$86</definedName>
    <definedName name="OSRRefT22_5x_0" localSheetId="69">'Div 4'!$T$57:$T$58</definedName>
    <definedName name="OSRRefT22_5x_0" localSheetId="89">'Div 5'!$T$48:$T$49</definedName>
    <definedName name="OSRRefT22_5x_0" localSheetId="61">'Div 6'!$T$62</definedName>
    <definedName name="OSRRefT22_5x_0" localSheetId="2">Summary!$T$93:$T$94</definedName>
    <definedName name="OSRRefT22_6x_0" localSheetId="41">'201'!$T$49</definedName>
    <definedName name="OSRRefT22_6x_0" localSheetId="42">'202'!$T$49:$T$51</definedName>
    <definedName name="OSRRefT22_6x_0" localSheetId="43">'203'!$T$50</definedName>
    <definedName name="OSRRefT22_6x_0" localSheetId="44">'204'!$T$53</definedName>
    <definedName name="OSRRefT22_6x_0" localSheetId="45">'205'!$T$50:$T$52</definedName>
    <definedName name="OSRRefT22_6x_0" localSheetId="46">'206'!$T$50:$T$51</definedName>
    <definedName name="OSRRefT22_6x_0" localSheetId="48">'300'!$T$84:$T$85</definedName>
    <definedName name="OSRRefT22_6x_0" localSheetId="49">'300 &amp; 317'!$T$90:$T$91</definedName>
    <definedName name="OSRRefT22_6x_0" localSheetId="51">'301'!$T$51</definedName>
    <definedName name="OSRRefT22_6x_0" localSheetId="53">'307'!$T$62</definedName>
    <definedName name="OSRRefT22_6x_0" localSheetId="54">'308'!$T$64</definedName>
    <definedName name="OSRRefT22_6x_0" localSheetId="63">'310'!$T$57</definedName>
    <definedName name="OSRRefT22_6x_0" localSheetId="70">'310 &amp; 491'!$T$59</definedName>
    <definedName name="OSRRefT22_6x_0" localSheetId="55">'311'!$T$64</definedName>
    <definedName name="OSRRefT22_6x_0" localSheetId="58">'315'!$T$72</definedName>
    <definedName name="OSRRefT22_6x_0" localSheetId="60">'316'!$T$56</definedName>
    <definedName name="OSRRefT22_6x_0" localSheetId="62">'317'!$T$64</definedName>
    <definedName name="OSRRefT22_6x_0" localSheetId="65">'321'!$T$52:$T$53</definedName>
    <definedName name="OSRRefT22_6x_0" localSheetId="67">'325'!$T$54</definedName>
    <definedName name="OSRRefT22_6x_0" localSheetId="59">'326'!$T$55</definedName>
    <definedName name="OSRRefT22_6x_0" localSheetId="52">'330'!$T$62</definedName>
    <definedName name="OSRRefT22_6x_0" localSheetId="57">'331'!$T$72</definedName>
    <definedName name="OSRRefT22_6x_0" localSheetId="50">'332'!$T$56</definedName>
    <definedName name="OSRRefT22_6x_0" localSheetId="72">'405'!$T$57</definedName>
    <definedName name="OSRRefT22_6x_0" localSheetId="74">'411'!$T$50</definedName>
    <definedName name="OSRRefT22_6x_0" localSheetId="78">'415'!$T$57</definedName>
    <definedName name="OSRRefT22_6x_0" localSheetId="79">'418'!$T$54</definedName>
    <definedName name="OSRRefT22_6x_0" localSheetId="85">'430'!$T$51</definedName>
    <definedName name="OSRRefT22_6x_0" localSheetId="86">'433'!$T$57</definedName>
    <definedName name="OSRRefT22_6x_0" localSheetId="87">'444'!$T$57</definedName>
    <definedName name="OSRRefT22_6x_0" localSheetId="88">'450'!$T$57</definedName>
    <definedName name="OSRRefT22_6x_0" localSheetId="71">'491'!$T$57</definedName>
    <definedName name="OSRRefT22_6x_0" localSheetId="84">'492'!$T$57</definedName>
    <definedName name="OSRRefT22_6x_0" localSheetId="90">'501'!$T$51</definedName>
    <definedName name="OSRRefT22_6x_0" localSheetId="39">'Div 2'!$T$52</definedName>
    <definedName name="OSRRefT22_6x_0" localSheetId="47">'Div 3'!$T$88:$T$89</definedName>
    <definedName name="OSRRefT22_6x_0" localSheetId="69">'Div 4'!$T$60</definedName>
    <definedName name="OSRRefT22_6x_0" localSheetId="89">'Div 5'!$T$51</definedName>
    <definedName name="OSRRefT22_6x_0" localSheetId="61">'Div 6'!$T$64</definedName>
    <definedName name="OSRRefT22_6x_0" localSheetId="2">Summary!$T$96:$T$97</definedName>
    <definedName name="OSRRefT22_7x_0" localSheetId="41">'201'!$T$51</definedName>
    <definedName name="OSRRefT22_7x_0" localSheetId="42">'202'!$T$53</definedName>
    <definedName name="OSRRefT22_7x_0" localSheetId="43">'203'!$T$52</definedName>
    <definedName name="OSRRefT22_7x_0" localSheetId="44">'204'!$T$55:$T$56</definedName>
    <definedName name="OSRRefT22_7x_0" localSheetId="45">'205'!$T$54</definedName>
    <definedName name="OSRRefT22_7x_0" localSheetId="46">'206'!$T$53</definedName>
    <definedName name="OSRRefT22_7x_0" localSheetId="48">'300'!$T$87</definedName>
    <definedName name="OSRRefT22_7x_0" localSheetId="49">'300 &amp; 317'!$T$93</definedName>
    <definedName name="OSRRefT22_7x_0" localSheetId="51">'301'!$T$53</definedName>
    <definedName name="OSRRefT22_7x_0" localSheetId="53">'307'!$T$64</definedName>
    <definedName name="OSRRefT22_7x_0" localSheetId="54">'308'!$T$66</definedName>
    <definedName name="OSRRefT22_7x_0" localSheetId="63">'310'!$T$59</definedName>
    <definedName name="OSRRefT22_7x_0" localSheetId="70">'310 &amp; 491'!$T$61</definedName>
    <definedName name="OSRRefT22_7x_0" localSheetId="55">'311'!$T$66</definedName>
    <definedName name="OSRRefT22_7x_0" localSheetId="58">'315'!$T$74:$T$75</definedName>
    <definedName name="OSRRefT22_7x_0" localSheetId="60">'316'!$T$58:$T$59</definedName>
    <definedName name="OSRRefT22_7x_0" localSheetId="62">'317'!$T$66</definedName>
    <definedName name="OSRRefT22_7x_0" localSheetId="65">'321'!$T$55</definedName>
    <definedName name="OSRRefT22_7x_0" localSheetId="67">'325'!$T$56</definedName>
    <definedName name="OSRRefT22_7x_0" localSheetId="59">'326'!$T$57</definedName>
    <definedName name="OSRRefT22_7x_0" localSheetId="52">'330'!$T$64</definedName>
    <definedName name="OSRRefT22_7x_0" localSheetId="57">'331'!$T$74:$T$75</definedName>
    <definedName name="OSRRefT22_7x_0" localSheetId="50">'332'!$T$58:$T$59</definedName>
    <definedName name="OSRRefT22_7x_0" localSheetId="72">'405'!$T$59</definedName>
    <definedName name="OSRRefT22_7x_0" localSheetId="74">'411'!$T$52</definedName>
    <definedName name="OSRRefT22_7x_0" localSheetId="78">'415'!$T$59</definedName>
    <definedName name="OSRRefT22_7x_0" localSheetId="79">'418'!$T$56</definedName>
    <definedName name="OSRRefT22_7x_0" localSheetId="85">'430'!$T$53</definedName>
    <definedName name="OSRRefT22_7x_0" localSheetId="86">'433'!$T$59</definedName>
    <definedName name="OSRRefT22_7x_0" localSheetId="87">'444'!$T$59</definedName>
    <definedName name="OSRRefT22_7x_0" localSheetId="88">'450'!$T$59</definedName>
    <definedName name="OSRRefT22_7x_0" localSheetId="71">'491'!$T$59</definedName>
    <definedName name="OSRRefT22_7x_0" localSheetId="84">'492'!$T$59</definedName>
    <definedName name="OSRRefT22_7x_0" localSheetId="90">'501'!$T$53</definedName>
    <definedName name="OSRRefT22_7x_0" localSheetId="39">'Div 2'!$T$54</definedName>
    <definedName name="OSRRefT22_7x_0" localSheetId="47">'Div 3'!$T$91</definedName>
    <definedName name="OSRRefT22_7x_0" localSheetId="69">'Div 4'!$T$62</definedName>
    <definedName name="OSRRefT22_7x_0" localSheetId="89">'Div 5'!$T$53</definedName>
    <definedName name="OSRRefT22_7x_0" localSheetId="61">'Div 6'!$T$66</definedName>
    <definedName name="OSRRefT22_7x_0" localSheetId="2">Summary!$T$99</definedName>
    <definedName name="OSRRefT22_8x_0" localSheetId="41">'201'!$T$53:$T$54</definedName>
    <definedName name="OSRRefT22_8x_0" localSheetId="42">'202'!$T$55</definedName>
    <definedName name="OSRRefT22_8x_0" localSheetId="43">'203'!$T$54:$T$56</definedName>
    <definedName name="OSRRefT22_8x_0" localSheetId="48">'300'!$T$89</definedName>
    <definedName name="OSRRefT22_8x_0" localSheetId="49">'300 &amp; 317'!$T$95</definedName>
    <definedName name="OSRRefT22_8x_0" localSheetId="51">'301'!$T$55</definedName>
    <definedName name="OSRRefT22_8x_0" localSheetId="53">'307'!$T$66</definedName>
    <definedName name="OSRRefT22_8x_0" localSheetId="54">'308'!$T$68:$T$70</definedName>
    <definedName name="OSRRefT22_8x_0" localSheetId="63">'310'!$T$61</definedName>
    <definedName name="OSRRefT22_8x_0" localSheetId="70">'310 &amp; 491'!$T$63</definedName>
    <definedName name="OSRRefT22_8x_0" localSheetId="55">'311'!$T$68:$T$70</definedName>
    <definedName name="OSRRefT22_8x_0" localSheetId="58">'315'!$T$77</definedName>
    <definedName name="OSRRefT22_8x_0" localSheetId="60">'316'!$T$61</definedName>
    <definedName name="OSRRefT22_8x_0" localSheetId="62">'317'!$T$68:$T$69</definedName>
    <definedName name="OSRRefT22_8x_0" localSheetId="65">'321'!$T$57:$T$58</definedName>
    <definedName name="OSRRefT22_8x_0" localSheetId="67">'325'!$T$58</definedName>
    <definedName name="OSRRefT22_8x_0" localSheetId="59">'326'!$T$59</definedName>
    <definedName name="OSRRefT22_8x_0" localSheetId="52">'330'!$T$66</definedName>
    <definedName name="OSRRefT22_8x_0" localSheetId="57">'331'!$T$77:$T$78</definedName>
    <definedName name="OSRRefT22_8x_0" localSheetId="50">'332'!$T$61</definedName>
    <definedName name="OSRRefT22_8x_0" localSheetId="72">'405'!$T$61</definedName>
    <definedName name="OSRRefT22_8x_0" localSheetId="74">'411'!$T$54:$T$56</definedName>
    <definedName name="OSRRefT22_8x_0" localSheetId="78">'415'!$T$61</definedName>
    <definedName name="OSRRefT22_8x_0" localSheetId="79">'418'!$T$58:$T$59</definedName>
    <definedName name="OSRRefT22_8x_0" localSheetId="86">'433'!$T$61</definedName>
    <definedName name="OSRRefT22_8x_0" localSheetId="87">'444'!$T$61</definedName>
    <definedName name="OSRRefT22_8x_0" localSheetId="88">'450'!$T$61</definedName>
    <definedName name="OSRRefT22_8x_0" localSheetId="71">'491'!$T$61</definedName>
    <definedName name="OSRRefT22_8x_0" localSheetId="84">'492'!$T$61</definedName>
    <definedName name="OSRRefT22_8x_0" localSheetId="90">'501'!$T$55</definedName>
    <definedName name="OSRRefT22_8x_0" localSheetId="39">'Div 2'!$T$56</definedName>
    <definedName name="OSRRefT22_8x_0" localSheetId="47">'Div 3'!$T$93</definedName>
    <definedName name="OSRRefT22_8x_0" localSheetId="69">'Div 4'!$T$64</definedName>
    <definedName name="OSRRefT22_8x_0" localSheetId="89">'Div 5'!$T$55</definedName>
    <definedName name="OSRRefT22_8x_0" localSheetId="61">'Div 6'!$T$68:$T$69</definedName>
    <definedName name="OSRRefT22_8x_0" localSheetId="2">Summary!$T$101</definedName>
    <definedName name="OSRRefT22_9x_0" localSheetId="41">'201'!$T$56:$T$57</definedName>
    <definedName name="OSRRefT22_9x_0" localSheetId="42">'202'!$T$57</definedName>
    <definedName name="OSRRefT22_9x_0" localSheetId="43">'203'!$T$58:$T$59</definedName>
    <definedName name="OSRRefT22_9x_0" localSheetId="48">'300'!$T$91</definedName>
    <definedName name="OSRRefT22_9x_0" localSheetId="49">'300 &amp; 317'!$T$97</definedName>
    <definedName name="OSRRefT22_9x_0" localSheetId="51">'301'!$T$57</definedName>
    <definedName name="OSRRefT22_9x_0" localSheetId="53">'307'!$T$68:$T$69</definedName>
    <definedName name="OSRRefT22_9x_0" localSheetId="54">'308'!$T$72</definedName>
    <definedName name="OSRRefT22_9x_0" localSheetId="63">'310'!$T$63</definedName>
    <definedName name="OSRRefT22_9x_0" localSheetId="70">'310 &amp; 491'!$T$65</definedName>
    <definedName name="OSRRefT22_9x_0" localSheetId="55">'311'!$T$72</definedName>
    <definedName name="OSRRefT22_9x_0" localSheetId="58">'315'!$T$79</definedName>
    <definedName name="OSRRefT22_9x_0" localSheetId="60">'316'!$T$63:$T$66</definedName>
    <definedName name="OSRRefT22_9x_0" localSheetId="62">'317'!$T$71</definedName>
    <definedName name="OSRRefT22_9x_0" localSheetId="65">'321'!$T$60:$T$62</definedName>
    <definedName name="OSRRefT22_9x_0" localSheetId="67">'325'!$T$60</definedName>
    <definedName name="OSRRefT22_9x_0" localSheetId="59">'326'!$T$61</definedName>
    <definedName name="OSRRefT22_9x_0" localSheetId="52">'330'!$T$68:$T$69</definedName>
    <definedName name="OSRRefT22_9x_0" localSheetId="57">'331'!$T$80</definedName>
    <definedName name="OSRRefT22_9x_0" localSheetId="50">'332'!$T$63:$T$66</definedName>
    <definedName name="OSRRefT22_9x_0" localSheetId="72">'405'!$T$63:$T$64</definedName>
    <definedName name="OSRRefT22_9x_0" localSheetId="74">'411'!$T$58:$T$60</definedName>
    <definedName name="OSRRefT22_9x_0" localSheetId="78">'415'!$T$63</definedName>
    <definedName name="OSRRefT22_9x_0" localSheetId="79">'418'!$T$61:$T$64</definedName>
    <definedName name="OSRRefT22_9x_0" localSheetId="86">'433'!$T$63</definedName>
    <definedName name="OSRRefT22_9x_0" localSheetId="87">'444'!$T$63</definedName>
    <definedName name="OSRRefT22_9x_0" localSheetId="88">'450'!$T$63</definedName>
    <definedName name="OSRRefT22_9x_0" localSheetId="71">'491'!$T$63</definedName>
    <definedName name="OSRRefT22_9x_0" localSheetId="84">'492'!$T$63</definedName>
    <definedName name="OSRRefT22_9x_0" localSheetId="90">'501'!$T$57:$T$59</definedName>
    <definedName name="OSRRefT22_9x_0" localSheetId="39">'Div 2'!$T$58</definedName>
    <definedName name="OSRRefT22_9x_0" localSheetId="47">'Div 3'!$T$95</definedName>
    <definedName name="OSRRefT22_9x_0" localSheetId="69">'Div 4'!$T$66</definedName>
    <definedName name="OSRRefT22_9x_0" localSheetId="89">'Div 5'!$T$57:$T$59</definedName>
    <definedName name="OSRRefT22_9x_0" localSheetId="61">'Div 6'!$T$71</definedName>
    <definedName name="OSRRefT22_9x_0" localSheetId="2">Summary!$T$103</definedName>
    <definedName name="OSRRefT22x_0" localSheetId="40">'200'!$T$20,'200'!$T$22,'200'!$T$24,'200'!$T$26:$T$27</definedName>
    <definedName name="OSRRefT22x_0" localSheetId="41">'201'!$T$20:$T$28,'201'!$T$30:$T$39,'201'!$T$41,'201'!$T$43,'201'!$T$45,'201'!$T$47,'201'!$T$49,'201'!$T$51,'201'!$T$53:$T$54,'201'!$T$56:$T$57,'201'!$T$59,'201'!$T$61:$T$62,'201'!$T$64</definedName>
    <definedName name="OSRRefT22x_0" localSheetId="42">'202'!$T$20:$T$28,'202'!$T$30:$T$39,'202'!$T$41,'202'!$T$43,'202'!$T$45,'202'!$T$47,'202'!$T$49:$T$51,'202'!$T$53,'202'!$T$55,'202'!$T$57,'202'!$T$59,'202'!$T$61</definedName>
    <definedName name="OSRRefT22x_0" localSheetId="43">'203'!$T$20:$T$29,'203'!$T$31:$T$40,'203'!$T$42,'203'!$T$44,'203'!$T$46,'203'!$T$48,'203'!$T$50,'203'!$T$52,'203'!$T$54:$T$56,'203'!$T$58:$T$59,'203'!$T$61,'203'!$T$63:$T$66,'203'!$T$68,'203'!$T$70</definedName>
    <definedName name="OSRRefT22x_0" localSheetId="44">'204'!$T$20:$T$28,'204'!$T$30:$T$39,'204'!$T$41,'204'!$T$43:$T$44,'204'!$T$46,'204'!$T$48:$T$51,'204'!$T$53,'204'!$T$55:$T$56</definedName>
    <definedName name="OSRRefT22x_0" localSheetId="45">'205'!$T$20:$T$28,'205'!$T$30:$T$39,'205'!$T$41,'205'!$T$43,'205'!$T$45:$T$46,'205'!$T$48,'205'!$T$50:$T$52,'205'!$T$54</definedName>
    <definedName name="OSRRefT22x_0" localSheetId="46">'206'!$T$20:$T$28,'206'!$T$30:$T$39,'206'!$T$41,'206'!$T$43,'206'!$T$45:$T$46,'206'!$T$48,'206'!$T$50:$T$51,'206'!$T$53</definedName>
    <definedName name="OSRRefT22x_0" localSheetId="48">'300'!$T$53:$T$62,'300'!$T$64:$T$73,'300'!$T$75,'300'!$T$77,'300'!$T$79,'300'!$T$81:$T$82,'300'!$T$84:$T$85,'300'!$T$87,'300'!$T$89,'300'!$T$91,'300'!$T$93:$T$94,'300'!$T$96:$T$97,'300'!$T$99,'300'!$T$101,'300'!$T$103,'300'!$T$105,'300'!$T$107:$T$110,'300'!$T$112:$T$115,'300'!$T$117:$T$119,'300'!$T$121:$T$122,'300'!$T$124:$T$130,'300'!$T$132:$T$133,'300'!$T$135,'300'!$T$137:$T$139,'300'!$T$141</definedName>
    <definedName name="OSRRefT22x_0" localSheetId="49">'300 &amp; 317'!$T$59:$T$68,'300 &amp; 317'!$T$70:$T$79,'300 &amp; 317'!$T$81,'300 &amp; 317'!$T$83,'300 &amp; 317'!$T$85,'300 &amp; 317'!$T$87:$T$88,'300 &amp; 317'!$T$90:$T$91,'300 &amp; 317'!$T$93,'300 &amp; 317'!$T$95,'300 &amp; 317'!$T$97,'300 &amp; 317'!$T$99:$T$100,'300 &amp; 317'!$T$102:$T$103,'300 &amp; 317'!$T$105,'300 &amp; 317'!$T$107,'300 &amp; 317'!$T$109,'300 &amp; 317'!$T$111,'300 &amp; 317'!$T$113:$T$116,'300 &amp; 317'!$T$118:$T$121,'300 &amp; 317'!$T$123:$T$125,'300 &amp; 317'!$T$127:$T$128,'300 &amp; 317'!$T$130:$T$136,'300 &amp; 317'!$T$138:$T$139,'300 &amp; 317'!$T$141,'300 &amp; 317'!$T$143:$T$145,'300 &amp; 317'!$T$147</definedName>
    <definedName name="OSRRefT22x_0" localSheetId="51">'301'!$T$20:$T$29,'301'!$T$31:$T$40,'301'!$T$42,'301'!$T$44,'301'!$T$46,'301'!$T$48:$T$49,'301'!$T$51,'301'!$T$53,'301'!$T$55,'301'!$T$57,'301'!$T$59,'301'!$T$61,'301'!$T$63,'301'!$T$65,'301'!$T$67:$T$70,'301'!$T$72:$T$73,'301'!$T$75,'301'!$T$77:$T$82,'301'!$T$84,'301'!$T$86,'301'!$T$88,'301'!$T$90</definedName>
    <definedName name="OSRRefT22x_0" localSheetId="53">'307'!$T$33:$T$40,'307'!$T$42:$T$51,'307'!$T$53,'307'!$T$55,'307'!$T$57,'307'!$T$59:$T$60,'307'!$T$62,'307'!$T$64,'307'!$T$66,'307'!$T$68:$T$69,'307'!$T$71:$T$72,'307'!$T$74:$T$76,'307'!$T$78</definedName>
    <definedName name="OSRRefT22x_0" localSheetId="54">'308'!$T$34:$T$43,'308'!$T$45:$T$54,'308'!$T$56,'308'!$T$58,'308'!$T$60,'308'!$T$62,'308'!$T$64,'308'!$T$66,'308'!$T$68:$T$70,'308'!$T$72,'308'!$T$74:$T$75,'308'!$T$77:$T$78</definedName>
    <definedName name="OSRRefT22x_0" localSheetId="64">'309'!$T$20,'309'!$T$22,'309'!$T$24:$T$25,'309'!$T$27</definedName>
    <definedName name="OSRRefT22x_0" localSheetId="63">'310'!$T$27:$T$35,'310'!$T$37:$T$46,'310'!$T$48,'310'!$T$50,'310'!$T$52,'310'!$T$54:$T$55,'310'!$T$57,'310'!$T$59,'310'!$T$61,'310'!$T$63,'310'!$T$65:$T$67,'310'!$T$69,'310'!$T$71:$T$73,'310'!$T$75:$T$79,'310'!$T$81:$T$82,'310'!$T$84,'310'!$T$86</definedName>
    <definedName name="OSRRefT22x_0" localSheetId="70">'310 &amp; 491'!$T$29:$T$37,'310 &amp; 491'!$T$39:$T$48,'310 &amp; 491'!$T$50,'310 &amp; 491'!$T$52,'310 &amp; 491'!$T$54,'310 &amp; 491'!$T$56:$T$57,'310 &amp; 491'!$T$59,'310 &amp; 491'!$T$61,'310 &amp; 491'!$T$63,'310 &amp; 491'!$T$65,'310 &amp; 491'!$T$67,'310 &amp; 491'!$T$69,'310 &amp; 491'!$T$71:$T$73,'310 &amp; 491'!$T$75,'310 &amp; 491'!$T$77:$T$81,'310 &amp; 491'!$T$83,'310 &amp; 491'!$T$85:$T$94,'310 &amp; 491'!$T$96:$T$97,'310 &amp; 491'!$T$99,'310 &amp; 491'!$T$101</definedName>
    <definedName name="OSRRefT22x_0" localSheetId="55">'311'!$T$34:$T$43,'311'!$T$45:$T$54,'311'!$T$56,'311'!$T$58,'311'!$T$60,'311'!$T$62,'311'!$T$64,'311'!$T$66,'311'!$T$68:$T$70,'311'!$T$72,'311'!$T$74:$T$75,'311'!$T$77:$T$78</definedName>
    <definedName name="OSRRefT22x_0" localSheetId="58">'315'!$T$43:$T$51,'315'!$T$53:$T$62,'315'!$T$64,'315'!$T$66,'315'!$T$68,'315'!$T$70,'315'!$T$72,'315'!$T$74:$T$75,'315'!$T$77,'315'!$T$79,'315'!$T$81,'315'!$T$83:$T$84,'315'!$T$86:$T$88,'315'!$T$90:$T$91,'315'!$T$93:$T$95,'315'!$T$97,'315'!$T$99</definedName>
    <definedName name="OSRRefT22x_0" localSheetId="60">'316'!$T$26:$T$34,'316'!$T$36:$T$45,'316'!$T$47,'316'!$T$49,'316'!$T$51,'316'!$T$53:$T$54,'316'!$T$56,'316'!$T$58:$T$59,'316'!$T$61,'316'!$T$63:$T$66,'316'!$T$68</definedName>
    <definedName name="OSRRefT22x_0" localSheetId="62">'317'!$T$34:$T$43,'317'!$T$45:$T$54,'317'!$T$56,'317'!$T$58,'317'!$T$60,'317'!$T$62,'317'!$T$64,'317'!$T$66,'317'!$T$68:$T$69,'317'!$T$71</definedName>
    <definedName name="OSRRefT22x_0" localSheetId="65">'321'!$T$23:$T$31,'321'!$T$33:$T$42,'321'!$T$44,'321'!$T$46,'321'!$T$48,'321'!$T$50,'321'!$T$52:$T$53,'321'!$T$55,'321'!$T$57:$T$58,'321'!$T$60:$T$62,'321'!$T$64,'321'!$T$66</definedName>
    <definedName name="OSRRefT22x_0" localSheetId="66">'322'!$T$20</definedName>
    <definedName name="OSRRefT22x_0" localSheetId="67">'325'!$T$25:$T$32,'325'!$T$34:$T$43,'325'!$T$45,'325'!$T$47,'325'!$T$49,'325'!$T$51:$T$52,'325'!$T$54,'325'!$T$56,'325'!$T$58,'325'!$T$60,'325'!$T$62:$T$64,'325'!$T$66:$T$68,'325'!$T$70:$T$74,'325'!$T$76:$T$77,'325'!$T$79</definedName>
    <definedName name="OSRRefT22x_0" localSheetId="59">'326'!$T$26:$T$34,'326'!$T$36:$T$45,'326'!$T$47,'326'!$T$49,'326'!$T$51,'326'!$T$53,'326'!$T$55,'326'!$T$57,'326'!$T$59,'326'!$T$61,'326'!$T$63,'326'!$T$65:$T$66,'326'!$T$68:$T$69,'326'!$T$71:$T$72,'326'!$T$74:$T$76,'326'!$T$78,'326'!$T$80:$T$81,'326'!$T$83</definedName>
    <definedName name="OSRRefT22x_0" localSheetId="68">'327'!$T$26</definedName>
    <definedName name="OSRRefT22x_0" localSheetId="52">'330'!$T$33:$T$40,'330'!$T$42:$T$51,'330'!$T$53,'330'!$T$55,'330'!$T$57,'330'!$T$59:$T$60,'330'!$T$62,'330'!$T$64,'330'!$T$66,'330'!$T$68:$T$69,'330'!$T$71:$T$72,'330'!$T$74:$T$76,'330'!$T$78</definedName>
    <definedName name="OSRRefT22x_0" localSheetId="57">'331'!$T$43:$T$51,'331'!$T$53:$T$62,'331'!$T$64,'331'!$T$66,'331'!$T$68,'331'!$T$70,'331'!$T$72,'331'!$T$74:$T$75,'331'!$T$77:$T$78,'331'!$T$80,'331'!$T$82,'331'!$T$84,'331'!$T$86,'331'!$T$88:$T$89,'331'!$T$91:$T$93,'331'!$T$95:$T$96,'331'!$T$98:$T$99,'331'!$T$101:$T$104,'331'!$T$106,'331'!$T$108:$T$109,'331'!$T$111</definedName>
    <definedName name="OSRRefT22x_0" localSheetId="50">'332'!$T$26:$T$34,'332'!$T$36:$T$45,'332'!$T$47,'332'!$T$49,'332'!$T$51,'332'!$T$53:$T$54,'332'!$T$56,'332'!$T$58:$T$59,'332'!$T$61,'332'!$T$63:$T$66,'332'!$T$68</definedName>
    <definedName name="OSRRefT22x_0" localSheetId="72">'405'!$T$27:$T$35,'405'!$T$37:$T$46,'405'!$T$48,'405'!$T$50,'405'!$T$52,'405'!$T$54:$T$55,'405'!$T$57,'405'!$T$59,'405'!$T$61,'405'!$T$63:$T$64,'405'!$T$66:$T$69,'405'!$T$71,'405'!$T$73:$T$80,'405'!$T$82,'405'!$T$84,'405'!$T$86</definedName>
    <definedName name="OSRRefT22x_0" localSheetId="73">'406'!$T$20,'406'!$T$22</definedName>
    <definedName name="OSRRefT22x_0" localSheetId="74">'411'!$T$20:$T$28,'411'!$T$30:$T$39,'411'!$T$41,'411'!$T$43:$T$44,'411'!$T$46,'411'!$T$48,'411'!$T$50,'411'!$T$52,'411'!$T$54:$T$56,'411'!$T$58:$T$60,'411'!$T$62,'411'!$T$64,'411'!$T$66,'411'!$T$68</definedName>
    <definedName name="OSRRefT22x_0" localSheetId="75">'412'!$T$20,'412'!$T$22,'412'!$T$24,'412'!$T$26</definedName>
    <definedName name="OSRRefT22x_0" localSheetId="76">'413'!$T$20,'413'!$T$22,'413'!$T$24</definedName>
    <definedName name="OSRRefT22x_0" localSheetId="77">'414'!$T$20,'414'!$T$22</definedName>
    <definedName name="OSRRefT22x_0" localSheetId="78">'415'!$T$27:$T$35,'415'!$T$37:$T$46,'415'!$T$48,'415'!$T$50,'415'!$T$52,'415'!$T$54:$T$55,'415'!$T$57,'415'!$T$59,'415'!$T$61,'415'!$T$63,'415'!$T$65:$T$66,'415'!$T$68:$T$71,'415'!$T$73,'415'!$T$75:$T$80,'415'!$T$82:$T$83,'415'!$T$85,'415'!$T$87</definedName>
    <definedName name="OSRRefT22x_0" localSheetId="79">'418'!$T$24:$T$32,'418'!$T$34:$T$43,'418'!$T$45,'418'!$T$47,'418'!$T$49:$T$50,'418'!$T$52,'418'!$T$54,'418'!$T$56,'418'!$T$58:$T$59,'418'!$T$61:$T$64,'418'!$T$66,'418'!$T$68:$T$75,'418'!$T$77:$T$78,'418'!$T$80,'418'!$T$82</definedName>
    <definedName name="OSRRefT22x_0" localSheetId="80">'423'!$T$20:$T$27,'423'!$T$29:$T$38,'423'!$T$40,'423'!$T$42,'423'!$T$44,'423'!$T$46</definedName>
    <definedName name="OSRRefT22x_0" localSheetId="81">'424'!$T$20,'424'!$T$22</definedName>
    <definedName name="OSRRefT22x_0" localSheetId="82">'425'!$T$21,'425'!$T$23</definedName>
    <definedName name="OSRRefT22x_0" localSheetId="85">'430'!$T$20:$T$28,'430'!$T$30:$T$39,'430'!$T$41,'430'!$T$43,'430'!$T$45:$T$46,'430'!$T$48:$T$49,'430'!$T$51,'430'!$T$53</definedName>
    <definedName name="OSRRefT22x_0" localSheetId="86">'433'!$T$27:$T$36,'433'!$T$38:$T$47,'433'!$T$49,'433'!$T$51,'433'!$T$53,'433'!$T$55,'433'!$T$57,'433'!$T$59,'433'!$T$61,'433'!$T$63,'433'!$T$65,'433'!$T$67:$T$69,'433'!$T$71:$T$74,'433'!$T$76:$T$83,'433'!$T$85</definedName>
    <definedName name="OSRRefT22x_0" localSheetId="87">'444'!$T$27:$T$36,'444'!$T$38:$T$47,'444'!$T$49,'444'!$T$51,'444'!$T$53,'444'!$T$55,'444'!$T$57,'444'!$T$59,'444'!$T$61,'444'!$T$63,'444'!$T$65,'444'!$T$67:$T$68,'444'!$T$70:$T$73,'444'!$T$75:$T$81,'444'!$T$83,'444'!$T$85</definedName>
    <definedName name="OSRRefT22x_0" localSheetId="88">'450'!$T$27:$T$36,'450'!$T$38:$T$47,'450'!$T$49,'450'!$T$51,'450'!$T$53,'450'!$T$55,'450'!$T$57,'450'!$T$59,'450'!$T$61,'450'!$T$63,'450'!$T$65,'450'!$T$67:$T$69,'450'!$T$71:$T$74,'450'!$T$76:$T$82,'450'!$T$84,'450'!$T$86,'450'!$T$88</definedName>
    <definedName name="OSRRefT22x_0" localSheetId="71">'491'!$T$27:$T$35,'491'!$T$37:$T$46,'491'!$T$48,'491'!$T$50,'491'!$T$52,'491'!$T$54:$T$55,'491'!$T$57,'491'!$T$59,'491'!$T$61,'491'!$T$63,'491'!$T$65,'491'!$T$67,'491'!$T$69:$T$71,'491'!$T$73:$T$77,'491'!$T$79,'491'!$T$81:$T$89,'491'!$T$91:$T$92,'491'!$T$94,'491'!$T$96</definedName>
    <definedName name="OSRRefT22x_0" localSheetId="84">'492'!$T$27:$T$36,'492'!$T$38:$T$47,'492'!$T$49,'492'!$T$51,'492'!$T$53,'492'!$T$55,'492'!$T$57,'492'!$T$59,'492'!$T$61,'492'!$T$63,'492'!$T$65,'492'!$T$67,'492'!$T$69:$T$71,'492'!$T$73:$T$76,'492'!$T$78:$T$85,'492'!$T$87:$T$88,'492'!$T$90,'492'!$T$92:$T$93</definedName>
    <definedName name="OSRRefT22x_0" localSheetId="90">'501'!$T$21:$T$29,'501'!$T$31:$T$40,'501'!$T$42,'501'!$T$44,'501'!$T$46,'501'!$T$48:$T$49,'501'!$T$51,'501'!$T$53,'501'!$T$55,'501'!$T$57:$T$59,'501'!$T$61,'501'!$T$63:$T$64,'501'!$T$66</definedName>
    <definedName name="OSRRefT22x_0" localSheetId="39">'Div 2'!$T$20:$T$30,'Div 2'!$T$32:$T$41,'Div 2'!$T$43,'Div 2'!$T$45,'Div 2'!$T$47,'Div 2'!$T$49:$T$50,'Div 2'!$T$52,'Div 2'!$T$54,'Div 2'!$T$56,'Div 2'!$T$58,'Div 2'!$T$60,'Div 2'!$T$62,'Div 2'!$T$64:$T$67,'Div 2'!$T$69:$T$72,'Div 2'!$T$74:$T$75,'Div 2'!$T$77,'Div 2'!$T$79:$T$84,'Div 2'!$T$86:$T$87,'Div 2'!$T$89,'Div 2'!$T$91</definedName>
    <definedName name="OSRRefT22x_0" localSheetId="47">'Div 3'!$T$57:$T$66,'Div 3'!$T$68:$T$77,'Div 3'!$T$79,'Div 3'!$T$81,'Div 3'!$T$83,'Div 3'!$T$85:$T$86,'Div 3'!$T$88:$T$89,'Div 3'!$T$91,'Div 3'!$T$93,'Div 3'!$T$95,'Div 3'!$T$97:$T$98,'Div 3'!$T$100:$T$101,'Div 3'!$T$103,'Div 3'!$T$105,'Div 3'!$T$107,'Div 3'!$T$109,'Div 3'!$T$111,'Div 3'!$T$113:$T$116,'Div 3'!$T$118:$T$121,'Div 3'!$T$123:$T$126,'Div 3'!$T$128:$T$129,'Div 3'!$T$131:$T$137,'Div 3'!$T$139:$T$140,'Div 3'!$T$142,'Div 3'!$T$144:$T$146,'Div 3'!$T$148</definedName>
    <definedName name="OSRRefT22x_0" localSheetId="69">'Div 4'!$T$29:$T$38,'Div 4'!$T$40:$T$49,'Div 4'!$T$51,'Div 4'!$T$53,'Div 4'!$T$55,'Div 4'!$T$57:$T$58,'Div 4'!$T$60,'Div 4'!$T$62,'Div 4'!$T$64,'Div 4'!$T$66,'Div 4'!$T$68,'Div 4'!$T$70,'Div 4'!$T$72,'Div 4'!$T$74,'Div 4'!$T$76:$T$78,'Div 4'!$T$80:$T$84,'Div 4'!$T$86,'Div 4'!$T$88:$T$97,'Div 4'!$T$99:$T$100,'Div 4'!$T$102,'Div 4'!$T$104:$T$105,'Div 4'!$T$107</definedName>
    <definedName name="OSRRefT22x_0" localSheetId="89">'Div 5'!$T$21:$T$29,'Div 5'!$T$31:$T$40,'Div 5'!$T$42,'Div 5'!$T$44,'Div 5'!$T$46,'Div 5'!$T$48:$T$49,'Div 5'!$T$51,'Div 5'!$T$53,'Div 5'!$T$55,'Div 5'!$T$57:$T$59,'Div 5'!$T$61,'Div 5'!$T$63:$T$64,'Div 5'!$T$66</definedName>
    <definedName name="OSRRefT22x_0" localSheetId="61">'Div 6'!$T$34:$T$43,'Div 6'!$T$45:$T$54,'Div 6'!$T$56,'Div 6'!$T$58,'Div 6'!$T$60,'Div 6'!$T$62,'Div 6'!$T$64,'Div 6'!$T$66,'Div 6'!$T$68:$T$69,'Div 6'!$T$71</definedName>
    <definedName name="OSRRefT22x_0" localSheetId="2">Summary!$T$65:$T$74,Summary!$T$76:$T$85,Summary!$T$87,Summary!$T$89,Summary!$T$91,Summary!$T$93:$T$94,Summary!$T$96:$T$97,Summary!$T$99,Summary!$T$101,Summary!$T$103,Summary!$T$105:$T$106,Summary!$T$108:$T$109,Summary!$T$111,Summary!$T$113,Summary!$T$115,Summary!$T$117,Summary!$T$119,Summary!$T$121,Summary!$T$123:$T$126,Summary!$T$128:$T$131,Summary!$T$133:$T$137,Summary!$T$139:$T$140,Summary!$T$142:$T$151,Summary!$T$153:$T$154,Summary!$T$156,Summary!$T$158:$T$160,Summary!$T$162</definedName>
    <definedName name="OSRRefT25x_0" localSheetId="48">'300'!$T$144:$T$148</definedName>
    <definedName name="OSRRefT25x_0" localSheetId="49">'300 &amp; 317'!$T$150:$T$156</definedName>
    <definedName name="OSRRefT25x_0" localSheetId="51">'301'!$T$93:$T$94</definedName>
    <definedName name="OSRRefT25x_0" localSheetId="54">'308'!$T$81:$T$84</definedName>
    <definedName name="OSRRefT25x_0" localSheetId="70">'310 &amp; 491'!$T$104:$T$106</definedName>
    <definedName name="OSRRefT25x_0" localSheetId="55">'311'!$T$81:$T$84</definedName>
    <definedName name="OSRRefT25x_0" localSheetId="58">'315'!$T$102:$T$104</definedName>
    <definedName name="OSRRefT25x_0" localSheetId="60">'316'!$T$71</definedName>
    <definedName name="OSRRefT25x_0" localSheetId="62">'317'!$T$74:$T$76</definedName>
    <definedName name="OSRRefT25x_0" localSheetId="57">'331'!$T$114:$T$116</definedName>
    <definedName name="OSRRefT25x_0" localSheetId="50">'332'!$T$71</definedName>
    <definedName name="OSRRefT25x_0" localSheetId="74">'411'!$T$71</definedName>
    <definedName name="OSRRefT25x_0" localSheetId="78">'415'!$T$90</definedName>
    <definedName name="OSRRefT25x_0" localSheetId="80">'423'!$T$49</definedName>
    <definedName name="OSRRefT25x_0" localSheetId="83">'455'!$T$21:$T$22</definedName>
    <definedName name="OSRRefT25x_0" localSheetId="71">'491'!$T$99:$T$101</definedName>
    <definedName name="OSRRefT25x_0" localSheetId="90">'501'!$T$69</definedName>
    <definedName name="OSRRefT25x_0" localSheetId="47">'Div 3'!$T$151:$T$155</definedName>
    <definedName name="OSRRefT25x_0" localSheetId="69">'Div 4'!$T$110:$T$112</definedName>
    <definedName name="OSRRefT25x_0" localSheetId="89">'Div 5'!$T$69</definedName>
    <definedName name="OSRRefT25x_0" localSheetId="61">'Div 6'!$T$74:$T$76</definedName>
    <definedName name="OSRRefT25x_0" localSheetId="2">Summary!$T$165:$T$172</definedName>
    <definedName name="_xlnm.Print_Area" localSheetId="38">'100'!$A$1:$Z$34</definedName>
    <definedName name="_xlnm.Print_Area" localSheetId="40">'200'!$A$1:$Z$41</definedName>
    <definedName name="_xlnm.Print_Area" localSheetId="41">'201'!$A$1:$Z$78</definedName>
    <definedName name="_xlnm.Print_Area" localSheetId="42">'202'!$A$1:$Z$75</definedName>
    <definedName name="_xlnm.Print_Area" localSheetId="43">'203'!$A$1:$Z$84</definedName>
    <definedName name="_xlnm.Print_Area" localSheetId="44">'204'!$A$1:$Z$70</definedName>
    <definedName name="_xlnm.Print_Area" localSheetId="45">'205'!$A$1:$Z$68</definedName>
    <definedName name="_xlnm.Print_Area" localSheetId="46">'206'!$A$1:$Z$67</definedName>
    <definedName name="_xlnm.Print_Area" localSheetId="48">'300'!$A$1:$Z$160</definedName>
    <definedName name="_xlnm.Print_Area" localSheetId="49">'300 &amp; 317'!$A$1:$Z$168</definedName>
    <definedName name="_xlnm.Print_Area" localSheetId="51">'301'!$A$1:$Z$106</definedName>
    <definedName name="_xlnm.Print_Area" localSheetId="53">'307'!$A$1:$Z$92</definedName>
    <definedName name="_xlnm.Print_Area" localSheetId="54">'308'!$A$1:$Z$96</definedName>
    <definedName name="_xlnm.Print_Area" localSheetId="64">'309'!$A$1:$Z$41</definedName>
    <definedName name="_xlnm.Print_Area" localSheetId="63">'310'!$A$1:$Z$100</definedName>
    <definedName name="_xlnm.Print_Area" localSheetId="70">'310 &amp; 491'!$A$1:$Z$118</definedName>
    <definedName name="_xlnm.Print_Area" localSheetId="55">'311'!$A$1:$Z$96</definedName>
    <definedName name="_xlnm.Print_Area" localSheetId="58">'315'!$A$1:$Z$116</definedName>
    <definedName name="_xlnm.Print_Area" localSheetId="60">'316'!$A$1:$Z$83</definedName>
    <definedName name="_xlnm.Print_Area" localSheetId="62">'317'!$A$1:$Z$88</definedName>
    <definedName name="_xlnm.Print_Area" localSheetId="65">'321'!$A$1:$Z$80</definedName>
    <definedName name="_xlnm.Print_Area" localSheetId="66">'322'!$A$1:$Z$34</definedName>
    <definedName name="_xlnm.Print_Area" localSheetId="56">'324'!$A$1:$Z$35</definedName>
    <definedName name="_xlnm.Print_Area" localSheetId="67">'325'!$A$1:$Z$93</definedName>
    <definedName name="_xlnm.Print_Area" localSheetId="59">'326'!$A$1:$Z$97</definedName>
    <definedName name="_xlnm.Print_Area" localSheetId="68">'327'!$A$1:$Z$40</definedName>
    <definedName name="_xlnm.Print_Area" localSheetId="52">'330'!$A$1:$Z$92</definedName>
    <definedName name="_xlnm.Print_Area" localSheetId="57">'331'!$A$1:$Z$128</definedName>
    <definedName name="_xlnm.Print_Area" localSheetId="50">'332'!$A$1:$Z$83</definedName>
    <definedName name="_xlnm.Print_Area" localSheetId="72">'405'!$A$1:$Z$100</definedName>
    <definedName name="_xlnm.Print_Area" localSheetId="73">'406'!$A$1:$Z$36</definedName>
    <definedName name="_xlnm.Print_Area" localSheetId="74">'411'!$A$1:$Z$83</definedName>
    <definedName name="_xlnm.Print_Area" localSheetId="75">'412'!$A$1:$Z$40</definedName>
    <definedName name="_xlnm.Print_Area" localSheetId="76">'413'!$A$1:$Z$38</definedName>
    <definedName name="_xlnm.Print_Area" localSheetId="77">'414'!$A$1:$Z$36</definedName>
    <definedName name="_xlnm.Print_Area" localSheetId="78">'415'!$A$1:$Z$102</definedName>
    <definedName name="_xlnm.Print_Area" localSheetId="79">'418'!$A$1:$Z$96</definedName>
    <definedName name="_xlnm.Print_Area" localSheetId="80">'423'!$A$1:$Z$61</definedName>
    <definedName name="_xlnm.Print_Area" localSheetId="81">'424'!$A$1:$Z$36</definedName>
    <definedName name="_xlnm.Print_Area" localSheetId="82">'425'!$A$1:$Z$37</definedName>
    <definedName name="_xlnm.Print_Area" localSheetId="85">'430'!$A$1:$Z$67</definedName>
    <definedName name="_xlnm.Print_Area" localSheetId="86">'433'!$A$1:$Z$99</definedName>
    <definedName name="_xlnm.Print_Area" localSheetId="87">'444'!$A$1:$Z$99</definedName>
    <definedName name="_xlnm.Print_Area" localSheetId="88">'450'!$A$1:$Z$102</definedName>
    <definedName name="_xlnm.Print_Area" localSheetId="83">'455'!$A$1:$Z$34</definedName>
    <definedName name="_xlnm.Print_Area" localSheetId="71">'491'!$A$1:$Z$113</definedName>
    <definedName name="_xlnm.Print_Area" localSheetId="84">'492'!$A$1:$Z$107</definedName>
    <definedName name="_xlnm.Print_Area" localSheetId="90">'501'!$A$1:$Z$81</definedName>
    <definedName name="_xlnm.Print_Area" localSheetId="91">Dept!$A$1:$Z$39</definedName>
    <definedName name="_xlnm.Print_Area" localSheetId="5">'Div 1'!$A$1:$Z$34</definedName>
    <definedName name="_xlnm.Print_Area" localSheetId="39">'Div 2'!$A$1:$Z$105</definedName>
    <definedName name="_xlnm.Print_Area" localSheetId="47">'Div 3'!$A$1:$Z$167</definedName>
    <definedName name="_xlnm.Print_Area" localSheetId="69">'Div 4'!$A$1:$Z$124</definedName>
    <definedName name="_xlnm.Print_Area" localSheetId="89">'Div 5'!$A$1:$Z$81</definedName>
    <definedName name="_xlnm.Print_Area" localSheetId="61">'Div 6'!$A$1:$Z$88</definedName>
    <definedName name="_xlnm.Print_Area" localSheetId="14">'OSR_300 &amp; 317_1C00ID4'!$A$1:$Z$39</definedName>
    <definedName name="_xlnm.Print_Area" localSheetId="15">'OSR_300 (2)_...6aa5a22d_14M6XO4'!$A$1:$Z$39</definedName>
    <definedName name="_xlnm.Print_Area" localSheetId="11">'OSR_300 (2)_7...54cb56fc_UFX0O2'!$A$1:$Z$39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3">'OSR_308 (2)_...47685838_1YQW4QY'!$A$1:$Z$39</definedName>
    <definedName name="_xlnm.Print_Area" localSheetId="20">OSR_308_UAWDAG!$A$1:$Z$39</definedName>
    <definedName name="_xlnm.Print_Area" localSheetId="28">'OSR_310 &amp; 491_1NGRCS9'!$A$1:$Z$39</definedName>
    <definedName name="_xlnm.Print_Area" localSheetId="19">'OSR_310 (2)_...6e684f08_1FLCNJG'!$A$1:$Z$39</definedName>
    <definedName name="_xlnm.Print_Area" localSheetId="27">'OSR_310 (2)_...8cac1423_1JTU33X'!$A$1:$Z$39</definedName>
    <definedName name="_xlnm.Print_Area" localSheetId="13">'OSR_310 (2)_5...3d931dee_QNK8R2'!$A$1:$Z$39</definedName>
    <definedName name="_xlnm.Print_Area" localSheetId="16">OSR_310_1CMTOSB!$A$1:$Z$39</definedName>
    <definedName name="_xlnm.Print_Area" localSheetId="21">'OSR_330 (2)_...8a14c83e_1NSH7XI'!$A$1:$Z$39</definedName>
    <definedName name="_xlnm.Print_Area" localSheetId="18">OSR_330_10VFP5Y!$A$1:$Z$39</definedName>
    <definedName name="_xlnm.Print_Area" localSheetId="25">'OSR_331 (2)_...7280af70_1P5SPLT'!$A$1:$Z$39</definedName>
    <definedName name="_xlnm.Print_Area" localSheetId="22">OSR_331_10VKQAJ!$A$1:$Z$39</definedName>
    <definedName name="_xlnm.Print_Area" localSheetId="24">OSR_332_6NDVBW!$A$1:$Z$39</definedName>
    <definedName name="_xlnm.Print_Area" localSheetId="29">'OSR_491 (2)_...853a34aa_1UNC34K'!$A$1:$Z$39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2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(2)...32d16c57_IVJ1QO'!$A$1:$Z$39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3">'OSR_Summary (...56e5d78f_5JEYZH'!$A$1:$Z$39</definedName>
    <definedName name="_xlnm.Print_Area" localSheetId="3">OSR_Summary_18VAVWG!$A$1:$Z$39</definedName>
    <definedName name="_xlnm.Print_Area" localSheetId="2">Summary!$A$1:$Z$186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1">'301'!$A:$C,'301'!$1:$10</definedName>
    <definedName name="_xlnm.Print_Titles" localSheetId="53">'307'!$A:$C,'307'!$1:$10</definedName>
    <definedName name="_xlnm.Print_Titles" localSheetId="54">'308'!$A:$C,'308'!$1:$10</definedName>
    <definedName name="_xlnm.Print_Titles" localSheetId="64">'309'!$A:$C,'309'!$1:$10</definedName>
    <definedName name="_xlnm.Print_Titles" localSheetId="63">'310'!$A:$C,'310'!$1:$10</definedName>
    <definedName name="_xlnm.Print_Titles" localSheetId="70">'310 &amp; 491'!$A:$C,'310 &amp; 491'!$1:$10</definedName>
    <definedName name="_xlnm.Print_Titles" localSheetId="55">'311'!$A:$C,'311'!$1:$10</definedName>
    <definedName name="_xlnm.Print_Titles" localSheetId="58">'315'!$A:$C,'315'!$1:$10</definedName>
    <definedName name="_xlnm.Print_Titles" localSheetId="60">'316'!$A:$C,'316'!$1:$10</definedName>
    <definedName name="_xlnm.Print_Titles" localSheetId="62">'317'!$A:$C,'317'!$1:$10</definedName>
    <definedName name="_xlnm.Print_Titles" localSheetId="65">'321'!$A:$C,'321'!$1:$10</definedName>
    <definedName name="_xlnm.Print_Titles" localSheetId="66">'322'!$A:$C,'322'!$1:$10</definedName>
    <definedName name="_xlnm.Print_Titles" localSheetId="56">'324'!$A:$C,'324'!$1:$10</definedName>
    <definedName name="_xlnm.Print_Titles" localSheetId="67">'325'!$A:$C,'325'!$1:$10</definedName>
    <definedName name="_xlnm.Print_Titles" localSheetId="59">'326'!$A:$C,'326'!$1:$10</definedName>
    <definedName name="_xlnm.Print_Titles" localSheetId="68">'327'!$A:$C,'327'!$1:$10</definedName>
    <definedName name="_xlnm.Print_Titles" localSheetId="52">'330'!$A:$C,'330'!$1:$10</definedName>
    <definedName name="_xlnm.Print_Titles" localSheetId="57">'331'!$A:$C,'331'!$1:$10</definedName>
    <definedName name="_xlnm.Print_Titles" localSheetId="50">'332'!$A:$C,'332'!$1:$10</definedName>
    <definedName name="_xlnm.Print_Titles" localSheetId="72">'405'!$A:$C,'405'!$1:$10</definedName>
    <definedName name="_xlnm.Print_Titles" localSheetId="73">'406'!$A:$C,'406'!$1:$10</definedName>
    <definedName name="_xlnm.Print_Titles" localSheetId="74">'411'!$A:$C,'411'!$1:$10</definedName>
    <definedName name="_xlnm.Print_Titles" localSheetId="75">'412'!$A:$C,'412'!$1:$10</definedName>
    <definedName name="_xlnm.Print_Titles" localSheetId="76">'413'!$A:$C,'413'!$1:$10</definedName>
    <definedName name="_xlnm.Print_Titles" localSheetId="77">'414'!$A:$C,'414'!$1:$10</definedName>
    <definedName name="_xlnm.Print_Titles" localSheetId="78">'415'!$A:$C,'415'!$1:$10</definedName>
    <definedName name="_xlnm.Print_Titles" localSheetId="79">'418'!$A:$C,'418'!$1:$10</definedName>
    <definedName name="_xlnm.Print_Titles" localSheetId="80">'423'!$A:$C,'423'!$1:$10</definedName>
    <definedName name="_xlnm.Print_Titles" localSheetId="81">'424'!$A:$C,'424'!$1:$10</definedName>
    <definedName name="_xlnm.Print_Titles" localSheetId="82">'425'!$A:$C,'425'!$1:$10</definedName>
    <definedName name="_xlnm.Print_Titles" localSheetId="85">'430'!$A:$C,'430'!$1:$10</definedName>
    <definedName name="_xlnm.Print_Titles" localSheetId="86">'433'!$A:$C,'433'!$1:$10</definedName>
    <definedName name="_xlnm.Print_Titles" localSheetId="87">'444'!$A:$C,'444'!$1:$10</definedName>
    <definedName name="_xlnm.Print_Titles" localSheetId="88">'450'!$A:$C,'450'!$1:$10</definedName>
    <definedName name="_xlnm.Print_Titles" localSheetId="83">'455'!$A:$C,'455'!$1:$10</definedName>
    <definedName name="_xlnm.Print_Titles" localSheetId="71">'491'!$A:$C,'491'!$1:$10</definedName>
    <definedName name="_xlnm.Print_Titles" localSheetId="84">'492'!$A:$C,'492'!$1:$10</definedName>
    <definedName name="_xlnm.Print_Titles" localSheetId="90">'501'!$A:$C,'501'!$1:$10</definedName>
    <definedName name="_xlnm.Print_Titles" localSheetId="91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69">'Div 4'!$A:$C,'Div 4'!$1:$10</definedName>
    <definedName name="_xlnm.Print_Titles" localSheetId="89">'Div 5'!$A:$C,'Div 5'!$1:$10</definedName>
    <definedName name="_xlnm.Print_Titles" localSheetId="61">'Div 6'!$A:$C,'Div 6'!$1:$10</definedName>
    <definedName name="_xlnm.Print_Titles" localSheetId="14">'OSR_300 &amp; 317_1C00ID4'!$A:$C,'OSR_300 &amp; 317_1C00ID4'!$1:$10</definedName>
    <definedName name="_xlnm.Print_Titles" localSheetId="15">'OSR_300 (2)_...6aa5a22d_14M6XO4'!$A:$C,'OSR_300 (2)_...6aa5a22d_14M6XO4'!$1:$10</definedName>
    <definedName name="_xlnm.Print_Titles" localSheetId="11">'OSR_300 (2)_7...54cb56fc_UFX0O2'!$A:$C,'OSR_300 (2)_7...54cb56fc_UFX0O2'!$1:$10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3">'OSR_308 (2)_...47685838_1YQW4QY'!$A:$C,'OSR_308 (2)_...47685838_1YQW4QY'!$1:$10</definedName>
    <definedName name="_xlnm.Print_Titles" localSheetId="20">OSR_308_UAWDAG!$A:$C,OSR_308_UAWDAG!$1:$10</definedName>
    <definedName name="_xlnm.Print_Titles" localSheetId="28">'OSR_310 &amp; 491_1NGRCS9'!$A:$C,'OSR_310 &amp; 491_1NGRCS9'!$1:$10</definedName>
    <definedName name="_xlnm.Print_Titles" localSheetId="19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3">'OSR_310 (2)_5...3d931dee_QNK8R2'!$A:$C,'OSR_310 (2)_5...3d931dee_QNK8R2'!$1:$10</definedName>
    <definedName name="_xlnm.Print_Titles" localSheetId="16">OSR_310_1CMTOSB!$A:$C,OSR_310_1CMTOSB!$1:$10</definedName>
    <definedName name="_xlnm.Print_Titles" localSheetId="21">'OSR_330 (2)_...8a14c83e_1NSH7XI'!$A:$C,'OSR_330 (2)_...8a14c83e_1NSH7XI'!$1:$10</definedName>
    <definedName name="_xlnm.Print_Titles" localSheetId="18">OSR_330_10VFP5Y!$A:$C,OSR_330_10VFP5Y!$1:$10</definedName>
    <definedName name="_xlnm.Print_Titles" localSheetId="25">'OSR_331 (2)_...7280af70_1P5SPLT'!$A:$C,'OSR_331 (2)_...7280af70_1P5SPLT'!$1:$10</definedName>
    <definedName name="_xlnm.Print_Titles" localSheetId="22">OSR_331_10VKQAJ!$A:$C,OSR_331_10VKQAJ!$1:$10</definedName>
    <definedName name="_xlnm.Print_Titles" localSheetId="24">OSR_332_6NDVBW!$A:$C,OSR_332_6NDVBW!$1:$10</definedName>
    <definedName name="_xlnm.Print_Titles" localSheetId="29">'OSR_491 (2)_...853a34aa_1UNC34K'!$A:$C,'OSR_491 (2)_...853a34aa_1UNC34K'!$1:$10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92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(2)...32d16c57_IVJ1QO'!$A:$C,'OSR_Div 5 (2)...32d16c57_IVJ1QO'!$1:$10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93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96" l="1"/>
  <c r="B38" i="96"/>
  <c r="T34" i="96"/>
  <c r="Z34" i="96" s="1"/>
  <c r="P34" i="96"/>
  <c r="H34" i="96"/>
  <c r="N34" i="96" s="1"/>
  <c r="D34" i="96"/>
  <c r="T33" i="96"/>
  <c r="Z33" i="96" s="1"/>
  <c r="P33" i="96"/>
  <c r="H33" i="96"/>
  <c r="N33" i="96" s="1"/>
  <c r="D33" i="96"/>
  <c r="T29" i="96"/>
  <c r="Z29" i="96" s="1"/>
  <c r="P29" i="96"/>
  <c r="H29" i="96"/>
  <c r="N29" i="96" s="1"/>
  <c r="D29" i="96"/>
  <c r="T25" i="96"/>
  <c r="Z25" i="96" s="1"/>
  <c r="P25" i="96"/>
  <c r="H25" i="96"/>
  <c r="N25" i="96" s="1"/>
  <c r="D25" i="96"/>
  <c r="B25" i="96"/>
  <c r="T24" i="96"/>
  <c r="Z24" i="96" s="1"/>
  <c r="P24" i="96"/>
  <c r="H24" i="96"/>
  <c r="N24" i="96" s="1"/>
  <c r="D24" i="96"/>
  <c r="T22" i="96"/>
  <c r="Z22" i="96" s="1"/>
  <c r="P22" i="96"/>
  <c r="H22" i="96"/>
  <c r="N22" i="96" s="1"/>
  <c r="D22" i="96"/>
  <c r="B22" i="96"/>
  <c r="T21" i="96"/>
  <c r="Z21" i="96" s="1"/>
  <c r="P21" i="96"/>
  <c r="H21" i="96"/>
  <c r="N21" i="96" s="1"/>
  <c r="D21" i="96"/>
  <c r="B21" i="96"/>
  <c r="T20" i="96"/>
  <c r="Z20" i="96" s="1"/>
  <c r="P20" i="96"/>
  <c r="H20" i="96"/>
  <c r="N20" i="96" s="1"/>
  <c r="D20" i="96"/>
  <c r="T16" i="96"/>
  <c r="Z16" i="96" s="1"/>
  <c r="P16" i="96"/>
  <c r="H16" i="96"/>
  <c r="N16" i="96" s="1"/>
  <c r="D16" i="96"/>
  <c r="B16" i="96"/>
  <c r="T15" i="96"/>
  <c r="Z15" i="96" s="1"/>
  <c r="P15" i="96"/>
  <c r="H15" i="96"/>
  <c r="N15" i="96" s="1"/>
  <c r="D15" i="96"/>
  <c r="T13" i="96"/>
  <c r="Z13" i="96" s="1"/>
  <c r="P13" i="96"/>
  <c r="H13" i="96"/>
  <c r="N13" i="96" s="1"/>
  <c r="D13" i="96"/>
  <c r="B13" i="96"/>
  <c r="T12" i="96"/>
  <c r="V34" i="96" s="1"/>
  <c r="P12" i="96"/>
  <c r="R34" i="96" s="1"/>
  <c r="H12" i="96"/>
  <c r="J21" i="96" s="1"/>
  <c r="D12" i="96"/>
  <c r="F34" i="96" s="1"/>
  <c r="D6" i="96"/>
  <c r="D5" i="96"/>
  <c r="D4" i="96"/>
  <c r="B39" i="95"/>
  <c r="B38" i="95"/>
  <c r="T34" i="95"/>
  <c r="Z34" i="95" s="1"/>
  <c r="P34" i="95"/>
  <c r="H34" i="95"/>
  <c r="N34" i="95" s="1"/>
  <c r="D34" i="95"/>
  <c r="T33" i="95"/>
  <c r="Z33" i="95" s="1"/>
  <c r="P33" i="95"/>
  <c r="H33" i="95"/>
  <c r="N33" i="95" s="1"/>
  <c r="D33" i="95"/>
  <c r="T29" i="95"/>
  <c r="Z29" i="95" s="1"/>
  <c r="P29" i="95"/>
  <c r="H29" i="95"/>
  <c r="N29" i="95" s="1"/>
  <c r="D29" i="95"/>
  <c r="T25" i="95"/>
  <c r="Z25" i="95" s="1"/>
  <c r="P25" i="95"/>
  <c r="H25" i="95"/>
  <c r="N25" i="95" s="1"/>
  <c r="D25" i="95"/>
  <c r="B25" i="95"/>
  <c r="T24" i="95"/>
  <c r="Z24" i="95" s="1"/>
  <c r="P24" i="95"/>
  <c r="H24" i="95"/>
  <c r="N24" i="95" s="1"/>
  <c r="D24" i="95"/>
  <c r="T22" i="95"/>
  <c r="Z22" i="95" s="1"/>
  <c r="P22" i="95"/>
  <c r="H22" i="95"/>
  <c r="D22" i="95"/>
  <c r="B22" i="95"/>
  <c r="T21" i="95"/>
  <c r="Z21" i="95" s="1"/>
  <c r="P21" i="95"/>
  <c r="H21" i="95"/>
  <c r="N21" i="95" s="1"/>
  <c r="D21" i="95"/>
  <c r="B21" i="95"/>
  <c r="T20" i="95"/>
  <c r="Z20" i="95" s="1"/>
  <c r="P20" i="95"/>
  <c r="H20" i="95"/>
  <c r="N20" i="95" s="1"/>
  <c r="D20" i="95"/>
  <c r="T16" i="95"/>
  <c r="Z16" i="95" s="1"/>
  <c r="P16" i="95"/>
  <c r="H16" i="95"/>
  <c r="N16" i="95" s="1"/>
  <c r="D16" i="95"/>
  <c r="B16" i="95"/>
  <c r="T15" i="95"/>
  <c r="Z15" i="95" s="1"/>
  <c r="P15" i="95"/>
  <c r="H15" i="95"/>
  <c r="N15" i="95" s="1"/>
  <c r="D15" i="95"/>
  <c r="T13" i="95"/>
  <c r="Z13" i="95" s="1"/>
  <c r="P13" i="95"/>
  <c r="H13" i="95"/>
  <c r="N13" i="95" s="1"/>
  <c r="D13" i="95"/>
  <c r="B13" i="95"/>
  <c r="T12" i="95"/>
  <c r="V34" i="95" s="1"/>
  <c r="P12" i="95"/>
  <c r="R36" i="95" s="1"/>
  <c r="H12" i="95"/>
  <c r="J34" i="95" s="1"/>
  <c r="D12" i="95"/>
  <c r="D6" i="95"/>
  <c r="D5" i="95"/>
  <c r="D4" i="95"/>
  <c r="B39" i="94"/>
  <c r="B38" i="94"/>
  <c r="T34" i="94"/>
  <c r="Z34" i="94" s="1"/>
  <c r="P34" i="94"/>
  <c r="H34" i="94"/>
  <c r="N34" i="94" s="1"/>
  <c r="D34" i="94"/>
  <c r="T33" i="94"/>
  <c r="Z33" i="94" s="1"/>
  <c r="P33" i="94"/>
  <c r="H33" i="94"/>
  <c r="N33" i="94" s="1"/>
  <c r="D33" i="94"/>
  <c r="T29" i="94"/>
  <c r="Z29" i="94" s="1"/>
  <c r="P29" i="94"/>
  <c r="H29" i="94"/>
  <c r="N29" i="94" s="1"/>
  <c r="D29" i="94"/>
  <c r="T25" i="94"/>
  <c r="Z25" i="94" s="1"/>
  <c r="P25" i="94"/>
  <c r="H25" i="94"/>
  <c r="N25" i="94" s="1"/>
  <c r="D25" i="94"/>
  <c r="B25" i="94"/>
  <c r="T24" i="94"/>
  <c r="P24" i="94"/>
  <c r="H24" i="94"/>
  <c r="N24" i="94" s="1"/>
  <c r="D24" i="94"/>
  <c r="T22" i="94"/>
  <c r="Z22" i="94" s="1"/>
  <c r="P22" i="94"/>
  <c r="H22" i="94"/>
  <c r="N22" i="94" s="1"/>
  <c r="D22" i="94"/>
  <c r="B22" i="94"/>
  <c r="T21" i="94"/>
  <c r="Z21" i="94" s="1"/>
  <c r="P21" i="94"/>
  <c r="H21" i="94"/>
  <c r="N21" i="94" s="1"/>
  <c r="D21" i="94"/>
  <c r="B21" i="94"/>
  <c r="T20" i="94"/>
  <c r="Z20" i="94" s="1"/>
  <c r="P20" i="94"/>
  <c r="H20" i="94"/>
  <c r="N20" i="94" s="1"/>
  <c r="D20" i="94"/>
  <c r="T16" i="94"/>
  <c r="Z16" i="94" s="1"/>
  <c r="P16" i="94"/>
  <c r="H16" i="94"/>
  <c r="N16" i="94" s="1"/>
  <c r="D16" i="94"/>
  <c r="B16" i="94"/>
  <c r="T15" i="94"/>
  <c r="Z15" i="94" s="1"/>
  <c r="P15" i="94"/>
  <c r="H15" i="94"/>
  <c r="N15" i="94" s="1"/>
  <c r="D15" i="94"/>
  <c r="T13" i="94"/>
  <c r="Z13" i="94" s="1"/>
  <c r="P13" i="94"/>
  <c r="H13" i="94"/>
  <c r="N13" i="94" s="1"/>
  <c r="D13" i="94"/>
  <c r="B13" i="94"/>
  <c r="T12" i="94"/>
  <c r="V36" i="94" s="1"/>
  <c r="P12" i="94"/>
  <c r="R21" i="94" s="1"/>
  <c r="H12" i="94"/>
  <c r="J20" i="94" s="1"/>
  <c r="D12" i="94"/>
  <c r="F36" i="94" s="1"/>
  <c r="D6" i="94"/>
  <c r="D5" i="94"/>
  <c r="D4" i="94"/>
  <c r="X73" i="93"/>
  <c r="Z73" i="93" s="1"/>
  <c r="L73" i="93"/>
  <c r="N73" i="93" s="1"/>
  <c r="X69" i="93"/>
  <c r="Z69" i="93" s="1"/>
  <c r="P69" i="93"/>
  <c r="P68" i="93" s="1"/>
  <c r="X68" i="93" s="1"/>
  <c r="Z68" i="93" s="1"/>
  <c r="D69" i="93"/>
  <c r="L69" i="93" s="1"/>
  <c r="N69" i="93" s="1"/>
  <c r="B69" i="93"/>
  <c r="T68" i="93"/>
  <c r="H68" i="93"/>
  <c r="Z66" i="93"/>
  <c r="X66" i="93"/>
  <c r="N66" i="93"/>
  <c r="L66" i="93"/>
  <c r="B66" i="93"/>
  <c r="X65" i="93"/>
  <c r="T65" i="93"/>
  <c r="Z65" i="93" s="1"/>
  <c r="P65" i="93"/>
  <c r="L65" i="93"/>
  <c r="H65" i="93"/>
  <c r="N65" i="93" s="1"/>
  <c r="D65" i="93"/>
  <c r="B65" i="93"/>
  <c r="Z64" i="93"/>
  <c r="X64" i="93"/>
  <c r="N64" i="93"/>
  <c r="L64" i="93"/>
  <c r="B64" i="93"/>
  <c r="X63" i="93"/>
  <c r="Z63" i="93" s="1"/>
  <c r="N63" i="93"/>
  <c r="L63" i="93"/>
  <c r="B63" i="93"/>
  <c r="T62" i="93"/>
  <c r="P62" i="93"/>
  <c r="H62" i="93"/>
  <c r="D62" i="93"/>
  <c r="L62" i="93" s="1"/>
  <c r="N62" i="93" s="1"/>
  <c r="B62" i="93"/>
  <c r="Z61" i="93"/>
  <c r="X61" i="93"/>
  <c r="L61" i="93"/>
  <c r="N61" i="93" s="1"/>
  <c r="B61" i="93"/>
  <c r="T60" i="93"/>
  <c r="P60" i="93"/>
  <c r="X60" i="93" s="1"/>
  <c r="Z60" i="93" s="1"/>
  <c r="L60" i="93"/>
  <c r="H60" i="93"/>
  <c r="N60" i="93" s="1"/>
  <c r="D60" i="93"/>
  <c r="B60" i="93"/>
  <c r="Z59" i="93"/>
  <c r="X59" i="93"/>
  <c r="N59" i="93"/>
  <c r="L59" i="93"/>
  <c r="B59" i="93"/>
  <c r="X58" i="93"/>
  <c r="Z58" i="93" s="1"/>
  <c r="N58" i="93"/>
  <c r="L58" i="93"/>
  <c r="B58" i="93"/>
  <c r="Z57" i="93"/>
  <c r="X57" i="93"/>
  <c r="N57" i="93"/>
  <c r="L57" i="93"/>
  <c r="B57" i="93"/>
  <c r="T56" i="93"/>
  <c r="P56" i="93"/>
  <c r="X56" i="93" s="1"/>
  <c r="Z56" i="93" s="1"/>
  <c r="L56" i="93"/>
  <c r="H56" i="93"/>
  <c r="N56" i="93" s="1"/>
  <c r="D56" i="93"/>
  <c r="B56" i="93"/>
  <c r="Z55" i="93"/>
  <c r="X55" i="93"/>
  <c r="L55" i="93"/>
  <c r="N55" i="93" s="1"/>
  <c r="B55" i="93"/>
  <c r="X54" i="93"/>
  <c r="T54" i="93"/>
  <c r="P54" i="93"/>
  <c r="L54" i="93"/>
  <c r="H54" i="93"/>
  <c r="D54" i="93"/>
  <c r="B54" i="93"/>
  <c r="X53" i="93"/>
  <c r="Z53" i="93" s="1"/>
  <c r="V53" i="93"/>
  <c r="N53" i="93"/>
  <c r="L53" i="93"/>
  <c r="B53" i="93"/>
  <c r="T52" i="93"/>
  <c r="P52" i="93"/>
  <c r="H52" i="93"/>
  <c r="D52" i="93"/>
  <c r="L52" i="93" s="1"/>
  <c r="B52" i="93"/>
  <c r="X51" i="93"/>
  <c r="Z51" i="93" s="1"/>
  <c r="N51" i="93"/>
  <c r="L51" i="93"/>
  <c r="B51" i="93"/>
  <c r="T50" i="93"/>
  <c r="P50" i="93"/>
  <c r="X50" i="93" s="1"/>
  <c r="H50" i="93"/>
  <c r="D50" i="93"/>
  <c r="L50" i="93" s="1"/>
  <c r="N50" i="93" s="1"/>
  <c r="B50" i="93"/>
  <c r="Z49" i="93"/>
  <c r="X49" i="93"/>
  <c r="L49" i="93"/>
  <c r="N49" i="93" s="1"/>
  <c r="B49" i="93"/>
  <c r="Z48" i="93"/>
  <c r="X48" i="93"/>
  <c r="N48" i="93"/>
  <c r="L48" i="93"/>
  <c r="B48" i="93"/>
  <c r="T47" i="93"/>
  <c r="R47" i="93"/>
  <c r="P47" i="93"/>
  <c r="X47" i="93" s="1"/>
  <c r="Z47" i="93" s="1"/>
  <c r="N47" i="93"/>
  <c r="L47" i="93"/>
  <c r="H47" i="93"/>
  <c r="D47" i="93"/>
  <c r="B47" i="93"/>
  <c r="X46" i="93"/>
  <c r="Z46" i="93" s="1"/>
  <c r="N46" i="93"/>
  <c r="L46" i="93"/>
  <c r="B46" i="93"/>
  <c r="T45" i="93"/>
  <c r="P45" i="93"/>
  <c r="X45" i="93" s="1"/>
  <c r="Z45" i="93" s="1"/>
  <c r="N45" i="93"/>
  <c r="H45" i="93"/>
  <c r="D45" i="93"/>
  <c r="L45" i="93" s="1"/>
  <c r="B45" i="93"/>
  <c r="X44" i="93"/>
  <c r="Z44" i="93" s="1"/>
  <c r="N44" i="93"/>
  <c r="L44" i="93"/>
  <c r="B44" i="93"/>
  <c r="Z43" i="93"/>
  <c r="T43" i="93"/>
  <c r="P43" i="93"/>
  <c r="X43" i="93" s="1"/>
  <c r="L43" i="93"/>
  <c r="H43" i="93"/>
  <c r="N43" i="93" s="1"/>
  <c r="D43" i="93"/>
  <c r="B43" i="93"/>
  <c r="Z42" i="93"/>
  <c r="X42" i="93"/>
  <c r="L42" i="93"/>
  <c r="N42" i="93" s="1"/>
  <c r="B42" i="93"/>
  <c r="T41" i="93"/>
  <c r="P41" i="93"/>
  <c r="X41" i="93" s="1"/>
  <c r="L41" i="93"/>
  <c r="N41" i="93" s="1"/>
  <c r="H41" i="93"/>
  <c r="D41" i="93"/>
  <c r="B41" i="93"/>
  <c r="Z40" i="93"/>
  <c r="X40" i="93"/>
  <c r="V40" i="93"/>
  <c r="N40" i="93"/>
  <c r="L40" i="93"/>
  <c r="B40" i="93"/>
  <c r="Z39" i="93"/>
  <c r="X39" i="93"/>
  <c r="R39" i="93"/>
  <c r="N39" i="93"/>
  <c r="L39" i="93"/>
  <c r="B39" i="93"/>
  <c r="Z38" i="93"/>
  <c r="X38" i="93"/>
  <c r="V38" i="93"/>
  <c r="R38" i="93"/>
  <c r="L38" i="93"/>
  <c r="N38" i="93" s="1"/>
  <c r="B38" i="93"/>
  <c r="X37" i="93"/>
  <c r="Z37" i="93" s="1"/>
  <c r="V37" i="93"/>
  <c r="R37" i="93"/>
  <c r="N37" i="93"/>
  <c r="L37" i="93"/>
  <c r="B37" i="93"/>
  <c r="Z36" i="93"/>
  <c r="X36" i="93"/>
  <c r="V36" i="93"/>
  <c r="N36" i="93"/>
  <c r="L36" i="93"/>
  <c r="B36" i="93"/>
  <c r="Z35" i="93"/>
  <c r="X35" i="93"/>
  <c r="V35" i="93"/>
  <c r="N35" i="93"/>
  <c r="L35" i="93"/>
  <c r="B35" i="93"/>
  <c r="X34" i="93"/>
  <c r="Z34" i="93" s="1"/>
  <c r="L34" i="93"/>
  <c r="N34" i="93" s="1"/>
  <c r="B34" i="93"/>
  <c r="Z33" i="93"/>
  <c r="X33" i="93"/>
  <c r="N33" i="93"/>
  <c r="L33" i="93"/>
  <c r="B33" i="93"/>
  <c r="X32" i="93"/>
  <c r="Z32" i="93" s="1"/>
  <c r="L32" i="93"/>
  <c r="N32" i="93" s="1"/>
  <c r="J32" i="93"/>
  <c r="B32" i="93"/>
  <c r="X31" i="93"/>
  <c r="Z31" i="93" s="1"/>
  <c r="L31" i="93"/>
  <c r="N31" i="93" s="1"/>
  <c r="J31" i="93"/>
  <c r="B31" i="93"/>
  <c r="T30" i="93"/>
  <c r="R30" i="93"/>
  <c r="P30" i="93"/>
  <c r="X30" i="93" s="1"/>
  <c r="H30" i="93"/>
  <c r="N30" i="93" s="1"/>
  <c r="D30" i="93"/>
  <c r="L30" i="93" s="1"/>
  <c r="B30" i="93"/>
  <c r="Z29" i="93"/>
  <c r="X29" i="93"/>
  <c r="L29" i="93"/>
  <c r="N29" i="93" s="1"/>
  <c r="F29" i="93"/>
  <c r="B29" i="93"/>
  <c r="X28" i="93"/>
  <c r="Z28" i="93" s="1"/>
  <c r="L28" i="93"/>
  <c r="N28" i="93" s="1"/>
  <c r="B28" i="93"/>
  <c r="Z27" i="93"/>
  <c r="X27" i="93"/>
  <c r="N27" i="93"/>
  <c r="L27" i="93"/>
  <c r="B27" i="93"/>
  <c r="Z26" i="93"/>
  <c r="X26" i="93"/>
  <c r="N26" i="93"/>
  <c r="L26" i="93"/>
  <c r="B26" i="93"/>
  <c r="X25" i="93"/>
  <c r="Z25" i="93" s="1"/>
  <c r="R25" i="93"/>
  <c r="N25" i="93"/>
  <c r="L25" i="93"/>
  <c r="B25" i="93"/>
  <c r="X24" i="93"/>
  <c r="Z24" i="93" s="1"/>
  <c r="V24" i="93"/>
  <c r="R24" i="93"/>
  <c r="L24" i="93"/>
  <c r="N24" i="93" s="1"/>
  <c r="B24" i="93"/>
  <c r="X23" i="93"/>
  <c r="Z23" i="93" s="1"/>
  <c r="V23" i="93"/>
  <c r="N23" i="93"/>
  <c r="L23" i="93"/>
  <c r="B23" i="93"/>
  <c r="Z22" i="93"/>
  <c r="X22" i="93"/>
  <c r="L22" i="93"/>
  <c r="N22" i="93" s="1"/>
  <c r="B22" i="93"/>
  <c r="Z21" i="93"/>
  <c r="X21" i="93"/>
  <c r="L21" i="93"/>
  <c r="N21" i="93" s="1"/>
  <c r="B21" i="93"/>
  <c r="T20" i="93"/>
  <c r="Z20" i="93" s="1"/>
  <c r="P20" i="93"/>
  <c r="X20" i="93" s="1"/>
  <c r="L20" i="93"/>
  <c r="N20" i="93" s="1"/>
  <c r="H20" i="93"/>
  <c r="D20" i="93"/>
  <c r="B20" i="93"/>
  <c r="X19" i="93"/>
  <c r="V19" i="93"/>
  <c r="T19" i="93"/>
  <c r="P19" i="93"/>
  <c r="H19" i="93"/>
  <c r="D19" i="93"/>
  <c r="P17" i="93"/>
  <c r="X15" i="93"/>
  <c r="V15" i="93"/>
  <c r="T15" i="93"/>
  <c r="Z15" i="93" s="1"/>
  <c r="P15" i="93"/>
  <c r="H15" i="93"/>
  <c r="N15" i="93" s="1"/>
  <c r="D15" i="93"/>
  <c r="L15" i="93" s="1"/>
  <c r="X13" i="93"/>
  <c r="Z13" i="93" s="1"/>
  <c r="P13" i="93"/>
  <c r="D13" i="93"/>
  <c r="L13" i="93" s="1"/>
  <c r="N13" i="93" s="1"/>
  <c r="B13" i="93"/>
  <c r="T12" i="93"/>
  <c r="V55" i="93" s="1"/>
  <c r="P12" i="93"/>
  <c r="R42" i="93" s="1"/>
  <c r="H12" i="93"/>
  <c r="D12" i="93"/>
  <c r="F43" i="93" s="1"/>
  <c r="D6" i="93"/>
  <c r="D4" i="93"/>
  <c r="J28" i="92"/>
  <c r="F28" i="92"/>
  <c r="Z26" i="92"/>
  <c r="X26" i="92"/>
  <c r="N26" i="92"/>
  <c r="L26" i="92"/>
  <c r="F26" i="92"/>
  <c r="Z22" i="92"/>
  <c r="X22" i="92"/>
  <c r="P22" i="92"/>
  <c r="P20" i="92" s="1"/>
  <c r="N22" i="92"/>
  <c r="F22" i="92"/>
  <c r="D22" i="92"/>
  <c r="L22" i="92" s="1"/>
  <c r="B22" i="92"/>
  <c r="Z21" i="92"/>
  <c r="X21" i="92"/>
  <c r="P21" i="92"/>
  <c r="N21" i="92"/>
  <c r="L21" i="92"/>
  <c r="F21" i="92"/>
  <c r="D21" i="92"/>
  <c r="B21" i="92"/>
  <c r="V20" i="92"/>
  <c r="T20" i="92"/>
  <c r="Z20" i="92" s="1"/>
  <c r="N20" i="92"/>
  <c r="H20" i="92"/>
  <c r="F20" i="92"/>
  <c r="D20" i="92"/>
  <c r="L20" i="92" s="1"/>
  <c r="Z18" i="92"/>
  <c r="X18" i="92"/>
  <c r="T18" i="92"/>
  <c r="P18" i="92"/>
  <c r="N18" i="92"/>
  <c r="L18" i="92"/>
  <c r="H18" i="92"/>
  <c r="F18" i="92"/>
  <c r="D18" i="92"/>
  <c r="T16" i="92"/>
  <c r="F16" i="92"/>
  <c r="D16" i="92"/>
  <c r="Z14" i="92"/>
  <c r="X14" i="92"/>
  <c r="T14" i="92"/>
  <c r="P14" i="92"/>
  <c r="N14" i="92"/>
  <c r="L14" i="92"/>
  <c r="H14" i="92"/>
  <c r="F14" i="92"/>
  <c r="D14" i="92"/>
  <c r="T12" i="92"/>
  <c r="V16" i="92" s="1"/>
  <c r="P12" i="92"/>
  <c r="R24" i="92" s="1"/>
  <c r="H12" i="92"/>
  <c r="J26" i="92" s="1"/>
  <c r="D12" i="92"/>
  <c r="F31" i="92" s="1"/>
  <c r="D6" i="92"/>
  <c r="D4" i="92"/>
  <c r="X94" i="91"/>
  <c r="Z94" i="91" s="1"/>
  <c r="N94" i="91"/>
  <c r="L94" i="91"/>
  <c r="Z90" i="91"/>
  <c r="T90" i="91"/>
  <c r="P90" i="91"/>
  <c r="X90" i="91" s="1"/>
  <c r="N90" i="91"/>
  <c r="L90" i="91"/>
  <c r="H90" i="91"/>
  <c r="D90" i="91"/>
  <c r="Z88" i="91"/>
  <c r="X88" i="91"/>
  <c r="N88" i="91"/>
  <c r="L88" i="91"/>
  <c r="B88" i="91"/>
  <c r="Z87" i="91"/>
  <c r="T87" i="91"/>
  <c r="X87" i="91" s="1"/>
  <c r="P87" i="91"/>
  <c r="L87" i="91"/>
  <c r="H87" i="91"/>
  <c r="N87" i="91" s="1"/>
  <c r="D87" i="91"/>
  <c r="B87" i="91"/>
  <c r="X86" i="91"/>
  <c r="Z86" i="91" s="1"/>
  <c r="N86" i="91"/>
  <c r="L86" i="91"/>
  <c r="B86" i="91"/>
  <c r="X85" i="91"/>
  <c r="T85" i="91"/>
  <c r="Z85" i="91" s="1"/>
  <c r="P85" i="91"/>
  <c r="H85" i="91"/>
  <c r="D85" i="91"/>
  <c r="L85" i="91" s="1"/>
  <c r="B85" i="91"/>
  <c r="Z84" i="91"/>
  <c r="X84" i="91"/>
  <c r="N84" i="91"/>
  <c r="L84" i="91"/>
  <c r="B84" i="91"/>
  <c r="T83" i="91"/>
  <c r="P83" i="91"/>
  <c r="H83" i="91"/>
  <c r="D83" i="91"/>
  <c r="L83" i="91" s="1"/>
  <c r="N83" i="91" s="1"/>
  <c r="B83" i="91"/>
  <c r="Z82" i="91"/>
  <c r="X82" i="91"/>
  <c r="N82" i="91"/>
  <c r="L82" i="91"/>
  <c r="B82" i="91"/>
  <c r="Z81" i="91"/>
  <c r="X81" i="91"/>
  <c r="N81" i="91"/>
  <c r="L81" i="91"/>
  <c r="B81" i="91"/>
  <c r="Z80" i="91"/>
  <c r="X80" i="91"/>
  <c r="N80" i="91"/>
  <c r="L80" i="91"/>
  <c r="B80" i="91"/>
  <c r="X79" i="91"/>
  <c r="Z79" i="91" s="1"/>
  <c r="N79" i="91"/>
  <c r="L79" i="91"/>
  <c r="B79" i="91"/>
  <c r="Z78" i="91"/>
  <c r="X78" i="91"/>
  <c r="N78" i="91"/>
  <c r="L78" i="91"/>
  <c r="B78" i="91"/>
  <c r="X77" i="91"/>
  <c r="Z77" i="91" s="1"/>
  <c r="L77" i="91"/>
  <c r="N77" i="91" s="1"/>
  <c r="B77" i="91"/>
  <c r="Z76" i="91"/>
  <c r="X76" i="91"/>
  <c r="N76" i="91"/>
  <c r="L76" i="91"/>
  <c r="B76" i="91"/>
  <c r="Z75" i="91"/>
  <c r="T75" i="91"/>
  <c r="X75" i="91" s="1"/>
  <c r="P75" i="91"/>
  <c r="L75" i="91"/>
  <c r="H75" i="91"/>
  <c r="D75" i="91"/>
  <c r="B75" i="91"/>
  <c r="Z74" i="91"/>
  <c r="X74" i="91"/>
  <c r="N74" i="91"/>
  <c r="L74" i="91"/>
  <c r="B74" i="91"/>
  <c r="X73" i="91"/>
  <c r="Z73" i="91" s="1"/>
  <c r="L73" i="91"/>
  <c r="N73" i="91" s="1"/>
  <c r="B73" i="91"/>
  <c r="Z72" i="91"/>
  <c r="X72" i="91"/>
  <c r="N72" i="91"/>
  <c r="L72" i="91"/>
  <c r="B72" i="91"/>
  <c r="Z71" i="91"/>
  <c r="X71" i="91"/>
  <c r="L71" i="91"/>
  <c r="N71" i="91" s="1"/>
  <c r="B71" i="91"/>
  <c r="Z70" i="91"/>
  <c r="X70" i="91"/>
  <c r="T70" i="91"/>
  <c r="P70" i="91"/>
  <c r="L70" i="91"/>
  <c r="N70" i="91" s="1"/>
  <c r="H70" i="91"/>
  <c r="D70" i="91"/>
  <c r="B70" i="91"/>
  <c r="X69" i="91"/>
  <c r="Z69" i="91" s="1"/>
  <c r="L69" i="91"/>
  <c r="N69" i="91" s="1"/>
  <c r="B69" i="91"/>
  <c r="Z68" i="91"/>
  <c r="X68" i="91"/>
  <c r="N68" i="91"/>
  <c r="L68" i="91"/>
  <c r="B68" i="91"/>
  <c r="Z67" i="91"/>
  <c r="X67" i="91"/>
  <c r="N67" i="91"/>
  <c r="L67" i="91"/>
  <c r="B67" i="91"/>
  <c r="Z66" i="91"/>
  <c r="X66" i="91"/>
  <c r="T66" i="91"/>
  <c r="P66" i="91"/>
  <c r="L66" i="91"/>
  <c r="N66" i="91" s="1"/>
  <c r="H66" i="91"/>
  <c r="D66" i="91"/>
  <c r="B66" i="91"/>
  <c r="X65" i="91"/>
  <c r="Z65" i="91" s="1"/>
  <c r="L65" i="91"/>
  <c r="N65" i="91" s="1"/>
  <c r="B65" i="91"/>
  <c r="Z64" i="91"/>
  <c r="X64" i="91"/>
  <c r="T64" i="91"/>
  <c r="P64" i="91"/>
  <c r="H64" i="91"/>
  <c r="D64" i="91"/>
  <c r="L64" i="91" s="1"/>
  <c r="B64" i="91"/>
  <c r="X63" i="91"/>
  <c r="Z63" i="91" s="1"/>
  <c r="N63" i="91"/>
  <c r="L63" i="91"/>
  <c r="B63" i="91"/>
  <c r="T62" i="91"/>
  <c r="P62" i="91"/>
  <c r="H62" i="91"/>
  <c r="D62" i="91"/>
  <c r="L62" i="91" s="1"/>
  <c r="N62" i="91" s="1"/>
  <c r="B62" i="91"/>
  <c r="X61" i="91"/>
  <c r="Z61" i="91" s="1"/>
  <c r="N61" i="91"/>
  <c r="L61" i="91"/>
  <c r="B61" i="91"/>
  <c r="Z60" i="91"/>
  <c r="T60" i="91"/>
  <c r="P60" i="91"/>
  <c r="X60" i="91" s="1"/>
  <c r="N60" i="91"/>
  <c r="L60" i="91"/>
  <c r="H60" i="91"/>
  <c r="D60" i="91"/>
  <c r="B60" i="91"/>
  <c r="Z59" i="91"/>
  <c r="X59" i="91"/>
  <c r="L59" i="91"/>
  <c r="N59" i="91" s="1"/>
  <c r="B59" i="91"/>
  <c r="Z58" i="91"/>
  <c r="X58" i="91"/>
  <c r="T58" i="91"/>
  <c r="P58" i="91"/>
  <c r="N58" i="91"/>
  <c r="L58" i="91"/>
  <c r="H58" i="91"/>
  <c r="D58" i="91"/>
  <c r="B58" i="91"/>
  <c r="X57" i="91"/>
  <c r="Z57" i="91" s="1"/>
  <c r="L57" i="91"/>
  <c r="N57" i="91" s="1"/>
  <c r="B57" i="91"/>
  <c r="Z56" i="91"/>
  <c r="X56" i="91"/>
  <c r="T56" i="91"/>
  <c r="P56" i="91"/>
  <c r="H56" i="91"/>
  <c r="D56" i="91"/>
  <c r="B56" i="91"/>
  <c r="X55" i="91"/>
  <c r="Z55" i="91" s="1"/>
  <c r="N55" i="91"/>
  <c r="L55" i="91"/>
  <c r="B55" i="91"/>
  <c r="T54" i="91"/>
  <c r="P54" i="91"/>
  <c r="H54" i="91"/>
  <c r="D54" i="91"/>
  <c r="L54" i="91" s="1"/>
  <c r="N54" i="91" s="1"/>
  <c r="B54" i="91"/>
  <c r="X53" i="91"/>
  <c r="Z53" i="91" s="1"/>
  <c r="L53" i="91"/>
  <c r="N53" i="91" s="1"/>
  <c r="B53" i="91"/>
  <c r="T52" i="91"/>
  <c r="P52" i="91"/>
  <c r="X52" i="91" s="1"/>
  <c r="Z52" i="91" s="1"/>
  <c r="L52" i="91"/>
  <c r="N52" i="91" s="1"/>
  <c r="H52" i="91"/>
  <c r="D52" i="91"/>
  <c r="B52" i="91"/>
  <c r="Z51" i="91"/>
  <c r="X51" i="91"/>
  <c r="L51" i="91"/>
  <c r="N51" i="91" s="1"/>
  <c r="B51" i="91"/>
  <c r="X50" i="91"/>
  <c r="Z50" i="91" s="1"/>
  <c r="T50" i="91"/>
  <c r="P50" i="91"/>
  <c r="L50" i="91"/>
  <c r="N50" i="91" s="1"/>
  <c r="H50" i="91"/>
  <c r="D50" i="91"/>
  <c r="B50" i="91"/>
  <c r="X49" i="91"/>
  <c r="Z49" i="91" s="1"/>
  <c r="N49" i="91"/>
  <c r="L49" i="91"/>
  <c r="B49" i="91"/>
  <c r="T48" i="91"/>
  <c r="P48" i="91"/>
  <c r="H48" i="91"/>
  <c r="D48" i="91"/>
  <c r="B48" i="91"/>
  <c r="Z47" i="91"/>
  <c r="X47" i="91"/>
  <c r="N47" i="91"/>
  <c r="L47" i="91"/>
  <c r="B47" i="91"/>
  <c r="Z46" i="91"/>
  <c r="X46" i="91"/>
  <c r="N46" i="91"/>
  <c r="L46" i="91"/>
  <c r="B46" i="91"/>
  <c r="X45" i="91"/>
  <c r="Z45" i="91" s="1"/>
  <c r="L45" i="91"/>
  <c r="N45" i="91" s="1"/>
  <c r="B45" i="91"/>
  <c r="X44" i="91"/>
  <c r="Z44" i="91" s="1"/>
  <c r="V44" i="91"/>
  <c r="N44" i="91"/>
  <c r="L44" i="91"/>
  <c r="B44" i="91"/>
  <c r="Z43" i="91"/>
  <c r="X43" i="91"/>
  <c r="N43" i="91"/>
  <c r="L43" i="91"/>
  <c r="B43" i="91"/>
  <c r="Z42" i="91"/>
  <c r="X42" i="91"/>
  <c r="N42" i="91"/>
  <c r="L42" i="91"/>
  <c r="B42" i="91"/>
  <c r="Z41" i="91"/>
  <c r="X41" i="91"/>
  <c r="L41" i="91"/>
  <c r="N41" i="91" s="1"/>
  <c r="B41" i="91"/>
  <c r="Z40" i="91"/>
  <c r="X40" i="91"/>
  <c r="N40" i="91"/>
  <c r="L40" i="91"/>
  <c r="B40" i="91"/>
  <c r="X39" i="91"/>
  <c r="Z39" i="91" s="1"/>
  <c r="N39" i="91"/>
  <c r="L39" i="91"/>
  <c r="B39" i="91"/>
  <c r="Z38" i="91"/>
  <c r="X38" i="91"/>
  <c r="N38" i="91"/>
  <c r="L38" i="91"/>
  <c r="B38" i="91"/>
  <c r="X37" i="91"/>
  <c r="T37" i="91"/>
  <c r="P37" i="91"/>
  <c r="H37" i="91"/>
  <c r="D37" i="91"/>
  <c r="L37" i="91" s="1"/>
  <c r="B37" i="91"/>
  <c r="Z36" i="91"/>
  <c r="X36" i="91"/>
  <c r="L36" i="91"/>
  <c r="N36" i="91" s="1"/>
  <c r="B36" i="91"/>
  <c r="X35" i="91"/>
  <c r="Z35" i="91" s="1"/>
  <c r="N35" i="91"/>
  <c r="L35" i="91"/>
  <c r="B35" i="91"/>
  <c r="Z34" i="91"/>
  <c r="X34" i="91"/>
  <c r="L34" i="91"/>
  <c r="N34" i="91" s="1"/>
  <c r="B34" i="91"/>
  <c r="Z33" i="91"/>
  <c r="X33" i="91"/>
  <c r="N33" i="91"/>
  <c r="L33" i="91"/>
  <c r="B33" i="91"/>
  <c r="Z32" i="91"/>
  <c r="X32" i="91"/>
  <c r="N32" i="91"/>
  <c r="L32" i="91"/>
  <c r="B32" i="91"/>
  <c r="X31" i="91"/>
  <c r="Z31" i="91" s="1"/>
  <c r="L31" i="91"/>
  <c r="N31" i="91" s="1"/>
  <c r="B31" i="91"/>
  <c r="X30" i="91"/>
  <c r="Z30" i="91" s="1"/>
  <c r="L30" i="91"/>
  <c r="N30" i="91" s="1"/>
  <c r="J30" i="91"/>
  <c r="B30" i="91"/>
  <c r="X29" i="91"/>
  <c r="Z29" i="91" s="1"/>
  <c r="L29" i="91"/>
  <c r="N29" i="91" s="1"/>
  <c r="B29" i="91"/>
  <c r="Z28" i="91"/>
  <c r="X28" i="91"/>
  <c r="L28" i="91"/>
  <c r="N28" i="91" s="1"/>
  <c r="B28" i="91"/>
  <c r="X27" i="91"/>
  <c r="Z27" i="91" s="1"/>
  <c r="L27" i="91"/>
  <c r="N27" i="91" s="1"/>
  <c r="B27" i="91"/>
  <c r="T26" i="91"/>
  <c r="P26" i="91"/>
  <c r="X26" i="91" s="1"/>
  <c r="Z26" i="91" s="1"/>
  <c r="H26" i="91"/>
  <c r="D26" i="91"/>
  <c r="B26" i="91"/>
  <c r="X25" i="91"/>
  <c r="Z25" i="91" s="1"/>
  <c r="T25" i="91"/>
  <c r="P25" i="91"/>
  <c r="H25" i="91"/>
  <c r="D25" i="91"/>
  <c r="Z21" i="91"/>
  <c r="X21" i="91"/>
  <c r="N21" i="91"/>
  <c r="L21" i="91"/>
  <c r="B21" i="91"/>
  <c r="Z20" i="91"/>
  <c r="X20" i="91"/>
  <c r="N20" i="91"/>
  <c r="L20" i="91"/>
  <c r="B20" i="91"/>
  <c r="X19" i="91"/>
  <c r="Z19" i="91" s="1"/>
  <c r="N19" i="91"/>
  <c r="L19" i="91"/>
  <c r="B19" i="91"/>
  <c r="V18" i="91"/>
  <c r="T18" i="91"/>
  <c r="X18" i="91" s="1"/>
  <c r="Z18" i="91" s="1"/>
  <c r="P18" i="91"/>
  <c r="N18" i="91"/>
  <c r="L18" i="91"/>
  <c r="H18" i="91"/>
  <c r="D18" i="91"/>
  <c r="Z16" i="91"/>
  <c r="P16" i="91"/>
  <c r="N16" i="91"/>
  <c r="L16" i="91"/>
  <c r="D16" i="91"/>
  <c r="B16" i="91"/>
  <c r="Z15" i="91"/>
  <c r="P15" i="91"/>
  <c r="X15" i="91" s="1"/>
  <c r="N15" i="91"/>
  <c r="D15" i="91"/>
  <c r="L15" i="91" s="1"/>
  <c r="B15" i="91"/>
  <c r="Z14" i="91"/>
  <c r="X14" i="91"/>
  <c r="P14" i="91"/>
  <c r="L14" i="91"/>
  <c r="N14" i="91" s="1"/>
  <c r="D14" i="91"/>
  <c r="B14" i="91"/>
  <c r="Z13" i="91"/>
  <c r="X13" i="91"/>
  <c r="P13" i="91"/>
  <c r="N13" i="91"/>
  <c r="D13" i="91"/>
  <c r="L13" i="91" s="1"/>
  <c r="B13" i="91"/>
  <c r="T12" i="91"/>
  <c r="V66" i="91" s="1"/>
  <c r="H12" i="91"/>
  <c r="J75" i="91" s="1"/>
  <c r="D6" i="91"/>
  <c r="D4" i="91"/>
  <c r="Z91" i="90"/>
  <c r="X91" i="90"/>
  <c r="N91" i="90"/>
  <c r="L91" i="90"/>
  <c r="Z87" i="90"/>
  <c r="X87" i="90"/>
  <c r="T87" i="90"/>
  <c r="P87" i="90"/>
  <c r="H87" i="90"/>
  <c r="N87" i="90" s="1"/>
  <c r="D87" i="90"/>
  <c r="L87" i="90" s="1"/>
  <c r="Z85" i="90"/>
  <c r="X85" i="90"/>
  <c r="N85" i="90"/>
  <c r="L85" i="90"/>
  <c r="B85" i="90"/>
  <c r="T84" i="90"/>
  <c r="P84" i="90"/>
  <c r="L84" i="90"/>
  <c r="N84" i="90" s="1"/>
  <c r="H84" i="90"/>
  <c r="D84" i="90"/>
  <c r="B84" i="90"/>
  <c r="Z83" i="90"/>
  <c r="X83" i="90"/>
  <c r="L83" i="90"/>
  <c r="N83" i="90" s="1"/>
  <c r="J83" i="90"/>
  <c r="B83" i="90"/>
  <c r="X82" i="90"/>
  <c r="Z82" i="90" s="1"/>
  <c r="T82" i="90"/>
  <c r="P82" i="90"/>
  <c r="H82" i="90"/>
  <c r="D82" i="90"/>
  <c r="B82" i="90"/>
  <c r="Z81" i="90"/>
  <c r="X81" i="90"/>
  <c r="N81" i="90"/>
  <c r="L81" i="90"/>
  <c r="B81" i="90"/>
  <c r="Z80" i="90"/>
  <c r="X80" i="90"/>
  <c r="N80" i="90"/>
  <c r="L80" i="90"/>
  <c r="B80" i="90"/>
  <c r="Z79" i="90"/>
  <c r="X79" i="90"/>
  <c r="N79" i="90"/>
  <c r="L79" i="90"/>
  <c r="B79" i="90"/>
  <c r="X78" i="90"/>
  <c r="Z78" i="90" s="1"/>
  <c r="L78" i="90"/>
  <c r="N78" i="90" s="1"/>
  <c r="B78" i="90"/>
  <c r="Z77" i="90"/>
  <c r="X77" i="90"/>
  <c r="L77" i="90"/>
  <c r="N77" i="90" s="1"/>
  <c r="J77" i="90"/>
  <c r="B77" i="90"/>
  <c r="Z76" i="90"/>
  <c r="X76" i="90"/>
  <c r="L76" i="90"/>
  <c r="N76" i="90" s="1"/>
  <c r="B76" i="90"/>
  <c r="Z75" i="90"/>
  <c r="X75" i="90"/>
  <c r="N75" i="90"/>
  <c r="L75" i="90"/>
  <c r="J75" i="90"/>
  <c r="B75" i="90"/>
  <c r="X74" i="90"/>
  <c r="T74" i="90"/>
  <c r="P74" i="90"/>
  <c r="H74" i="90"/>
  <c r="D74" i="90"/>
  <c r="L74" i="90" s="1"/>
  <c r="B74" i="90"/>
  <c r="Z73" i="90"/>
  <c r="X73" i="90"/>
  <c r="L73" i="90"/>
  <c r="N73" i="90" s="1"/>
  <c r="B73" i="90"/>
  <c r="Z72" i="90"/>
  <c r="X72" i="90"/>
  <c r="N72" i="90"/>
  <c r="L72" i="90"/>
  <c r="B72" i="90"/>
  <c r="Z71" i="90"/>
  <c r="X71" i="90"/>
  <c r="N71" i="90"/>
  <c r="L71" i="90"/>
  <c r="B71" i="90"/>
  <c r="X70" i="90"/>
  <c r="Z70" i="90" s="1"/>
  <c r="L70" i="90"/>
  <c r="N70" i="90" s="1"/>
  <c r="B70" i="90"/>
  <c r="X69" i="90"/>
  <c r="Z69" i="90" s="1"/>
  <c r="T69" i="90"/>
  <c r="P69" i="90"/>
  <c r="H69" i="90"/>
  <c r="D69" i="90"/>
  <c r="B69" i="90"/>
  <c r="Z68" i="90"/>
  <c r="X68" i="90"/>
  <c r="L68" i="90"/>
  <c r="N68" i="90" s="1"/>
  <c r="B68" i="90"/>
  <c r="Z67" i="90"/>
  <c r="X67" i="90"/>
  <c r="V67" i="90"/>
  <c r="N67" i="90"/>
  <c r="L67" i="90"/>
  <c r="B67" i="90"/>
  <c r="T66" i="90"/>
  <c r="P66" i="90"/>
  <c r="H66" i="90"/>
  <c r="D66" i="90"/>
  <c r="L66" i="90" s="1"/>
  <c r="B66" i="90"/>
  <c r="Z65" i="90"/>
  <c r="X65" i="90"/>
  <c r="L65" i="90"/>
  <c r="N65" i="90" s="1"/>
  <c r="B65" i="90"/>
  <c r="T64" i="90"/>
  <c r="P64" i="90"/>
  <c r="X64" i="90" s="1"/>
  <c r="L64" i="90"/>
  <c r="N64" i="90" s="1"/>
  <c r="H64" i="90"/>
  <c r="D64" i="90"/>
  <c r="B64" i="90"/>
  <c r="X63" i="90"/>
  <c r="Z63" i="90" s="1"/>
  <c r="N63" i="90"/>
  <c r="L63" i="90"/>
  <c r="B63" i="90"/>
  <c r="Z62" i="90"/>
  <c r="X62" i="90"/>
  <c r="T62" i="90"/>
  <c r="P62" i="90"/>
  <c r="H62" i="90"/>
  <c r="D62" i="90"/>
  <c r="B62" i="90"/>
  <c r="X61" i="90"/>
  <c r="Z61" i="90" s="1"/>
  <c r="L61" i="90"/>
  <c r="N61" i="90" s="1"/>
  <c r="B61" i="90"/>
  <c r="T60" i="90"/>
  <c r="X60" i="90" s="1"/>
  <c r="Z60" i="90" s="1"/>
  <c r="P60" i="90"/>
  <c r="L60" i="90"/>
  <c r="H60" i="90"/>
  <c r="D60" i="90"/>
  <c r="B60" i="90"/>
  <c r="Z59" i="90"/>
  <c r="X59" i="90"/>
  <c r="N59" i="90"/>
  <c r="L59" i="90"/>
  <c r="B59" i="90"/>
  <c r="X58" i="90"/>
  <c r="T58" i="90"/>
  <c r="P58" i="90"/>
  <c r="H58" i="90"/>
  <c r="D58" i="90"/>
  <c r="L58" i="90" s="1"/>
  <c r="N58" i="90" s="1"/>
  <c r="B58" i="90"/>
  <c r="X57" i="90"/>
  <c r="Z57" i="90" s="1"/>
  <c r="L57" i="90"/>
  <c r="N57" i="90" s="1"/>
  <c r="B57" i="90"/>
  <c r="T56" i="90"/>
  <c r="P56" i="90"/>
  <c r="H56" i="90"/>
  <c r="D56" i="90"/>
  <c r="L56" i="90" s="1"/>
  <c r="N56" i="90" s="1"/>
  <c r="B56" i="90"/>
  <c r="Z55" i="90"/>
  <c r="X55" i="90"/>
  <c r="N55" i="90"/>
  <c r="L55" i="90"/>
  <c r="J55" i="90"/>
  <c r="B55" i="90"/>
  <c r="T54" i="90"/>
  <c r="P54" i="90"/>
  <c r="X54" i="90" s="1"/>
  <c r="Z54" i="90" s="1"/>
  <c r="N54" i="90"/>
  <c r="L54" i="90"/>
  <c r="H54" i="90"/>
  <c r="D54" i="90"/>
  <c r="B54" i="90"/>
  <c r="X53" i="90"/>
  <c r="Z53" i="90" s="1"/>
  <c r="L53" i="90"/>
  <c r="N53" i="90" s="1"/>
  <c r="B53" i="90"/>
  <c r="X52" i="90"/>
  <c r="V52" i="90"/>
  <c r="T52" i="90"/>
  <c r="Z52" i="90" s="1"/>
  <c r="P52" i="90"/>
  <c r="H52" i="90"/>
  <c r="D52" i="90"/>
  <c r="L52" i="90" s="1"/>
  <c r="B52" i="90"/>
  <c r="Z51" i="90"/>
  <c r="X51" i="90"/>
  <c r="L51" i="90"/>
  <c r="N51" i="90" s="1"/>
  <c r="J51" i="90"/>
  <c r="B51" i="90"/>
  <c r="T50" i="90"/>
  <c r="P50" i="90"/>
  <c r="X50" i="90" s="1"/>
  <c r="H50" i="90"/>
  <c r="D50" i="90"/>
  <c r="B50" i="90"/>
  <c r="X49" i="90"/>
  <c r="Z49" i="90" s="1"/>
  <c r="N49" i="90"/>
  <c r="L49" i="90"/>
  <c r="B49" i="90"/>
  <c r="T48" i="90"/>
  <c r="P48" i="90"/>
  <c r="X48" i="90" s="1"/>
  <c r="H48" i="90"/>
  <c r="D48" i="90"/>
  <c r="L48" i="90" s="1"/>
  <c r="N48" i="90" s="1"/>
  <c r="B48" i="90"/>
  <c r="Z47" i="90"/>
  <c r="X47" i="90"/>
  <c r="N47" i="90"/>
  <c r="L47" i="90"/>
  <c r="B47" i="90"/>
  <c r="Z46" i="90"/>
  <c r="X46" i="90"/>
  <c r="N46" i="90"/>
  <c r="L46" i="90"/>
  <c r="J46" i="90"/>
  <c r="B46" i="90"/>
  <c r="Z45" i="90"/>
  <c r="X45" i="90"/>
  <c r="L45" i="90"/>
  <c r="N45" i="90" s="1"/>
  <c r="J45" i="90"/>
  <c r="B45" i="90"/>
  <c r="Z44" i="90"/>
  <c r="X44" i="90"/>
  <c r="N44" i="90"/>
  <c r="L44" i="90"/>
  <c r="J44" i="90"/>
  <c r="B44" i="90"/>
  <c r="Z43" i="90"/>
  <c r="X43" i="90"/>
  <c r="N43" i="90"/>
  <c r="L43" i="90"/>
  <c r="B43" i="90"/>
  <c r="Z42" i="90"/>
  <c r="X42" i="90"/>
  <c r="N42" i="90"/>
  <c r="L42" i="90"/>
  <c r="B42" i="90"/>
  <c r="X41" i="90"/>
  <c r="Z41" i="90" s="1"/>
  <c r="L41" i="90"/>
  <c r="N41" i="90" s="1"/>
  <c r="B41" i="90"/>
  <c r="Z40" i="90"/>
  <c r="X40" i="90"/>
  <c r="V40" i="90"/>
  <c r="N40" i="90"/>
  <c r="L40" i="90"/>
  <c r="B40" i="90"/>
  <c r="Z39" i="90"/>
  <c r="X39" i="90"/>
  <c r="L39" i="90"/>
  <c r="N39" i="90" s="1"/>
  <c r="B39" i="90"/>
  <c r="Z38" i="90"/>
  <c r="X38" i="90"/>
  <c r="N38" i="90"/>
  <c r="L38" i="90"/>
  <c r="B38" i="90"/>
  <c r="X37" i="90"/>
  <c r="T37" i="90"/>
  <c r="Z37" i="90" s="1"/>
  <c r="P37" i="90"/>
  <c r="N37" i="90"/>
  <c r="L37" i="90"/>
  <c r="H37" i="90"/>
  <c r="D37" i="90"/>
  <c r="B37" i="90"/>
  <c r="X36" i="90"/>
  <c r="Z36" i="90" s="1"/>
  <c r="N36" i="90"/>
  <c r="L36" i="90"/>
  <c r="J36" i="90"/>
  <c r="B36" i="90"/>
  <c r="Z35" i="90"/>
  <c r="X35" i="90"/>
  <c r="L35" i="90"/>
  <c r="N35" i="90" s="1"/>
  <c r="B35" i="90"/>
  <c r="Z34" i="90"/>
  <c r="X34" i="90"/>
  <c r="N34" i="90"/>
  <c r="L34" i="90"/>
  <c r="B34" i="90"/>
  <c r="Z33" i="90"/>
  <c r="X33" i="90"/>
  <c r="N33" i="90"/>
  <c r="L33" i="90"/>
  <c r="J33" i="90"/>
  <c r="B33" i="90"/>
  <c r="Z32" i="90"/>
  <c r="X32" i="90"/>
  <c r="N32" i="90"/>
  <c r="L32" i="90"/>
  <c r="J32" i="90"/>
  <c r="B32" i="90"/>
  <c r="X31" i="90"/>
  <c r="Z31" i="90" s="1"/>
  <c r="N31" i="90"/>
  <c r="L31" i="90"/>
  <c r="B31" i="90"/>
  <c r="Z30" i="90"/>
  <c r="X30" i="90"/>
  <c r="N30" i="90"/>
  <c r="L30" i="90"/>
  <c r="J30" i="90"/>
  <c r="B30" i="90"/>
  <c r="X29" i="90"/>
  <c r="Z29" i="90" s="1"/>
  <c r="L29" i="90"/>
  <c r="N29" i="90" s="1"/>
  <c r="B29" i="90"/>
  <c r="X28" i="90"/>
  <c r="Z28" i="90" s="1"/>
  <c r="V28" i="90"/>
  <c r="N28" i="90"/>
  <c r="L28" i="90"/>
  <c r="J28" i="90"/>
  <c r="B28" i="90"/>
  <c r="Z27" i="90"/>
  <c r="X27" i="90"/>
  <c r="L27" i="90"/>
  <c r="N27" i="90" s="1"/>
  <c r="B27" i="90"/>
  <c r="Z26" i="90"/>
  <c r="X26" i="90"/>
  <c r="T26" i="90"/>
  <c r="P26" i="90"/>
  <c r="L26" i="90"/>
  <c r="J26" i="90"/>
  <c r="H26" i="90"/>
  <c r="D26" i="90"/>
  <c r="B26" i="90"/>
  <c r="T25" i="90"/>
  <c r="P25" i="90"/>
  <c r="X25" i="90" s="1"/>
  <c r="H25" i="90"/>
  <c r="N25" i="90" s="1"/>
  <c r="D25" i="90"/>
  <c r="L25" i="90" s="1"/>
  <c r="H23" i="90"/>
  <c r="Z21" i="90"/>
  <c r="X21" i="90"/>
  <c r="N21" i="90"/>
  <c r="L21" i="90"/>
  <c r="B21" i="90"/>
  <c r="Z20" i="90"/>
  <c r="X20" i="90"/>
  <c r="V20" i="90"/>
  <c r="N20" i="90"/>
  <c r="L20" i="90"/>
  <c r="J20" i="90"/>
  <c r="B20" i="90"/>
  <c r="X19" i="90"/>
  <c r="Z19" i="90" s="1"/>
  <c r="L19" i="90"/>
  <c r="N19" i="90" s="1"/>
  <c r="B19" i="90"/>
  <c r="Z18" i="90"/>
  <c r="X18" i="90"/>
  <c r="T18" i="90"/>
  <c r="P18" i="90"/>
  <c r="L18" i="90"/>
  <c r="J18" i="90"/>
  <c r="H18" i="90"/>
  <c r="D18" i="90"/>
  <c r="Z16" i="90"/>
  <c r="P16" i="90"/>
  <c r="X16" i="90" s="1"/>
  <c r="N16" i="90"/>
  <c r="L16" i="90"/>
  <c r="D16" i="90"/>
  <c r="B16" i="90"/>
  <c r="Z15" i="90"/>
  <c r="X15" i="90"/>
  <c r="P15" i="90"/>
  <c r="N15" i="90"/>
  <c r="D15" i="90"/>
  <c r="L15" i="90" s="1"/>
  <c r="B15" i="90"/>
  <c r="P14" i="90"/>
  <c r="X14" i="90" s="1"/>
  <c r="Z14" i="90" s="1"/>
  <c r="D14" i="90"/>
  <c r="B14" i="90"/>
  <c r="Z13" i="90"/>
  <c r="X13" i="90"/>
  <c r="P13" i="90"/>
  <c r="N13" i="90"/>
  <c r="D13" i="90"/>
  <c r="L13" i="90" s="1"/>
  <c r="B13" i="90"/>
  <c r="T12" i="90"/>
  <c r="H12" i="90"/>
  <c r="D6" i="90"/>
  <c r="D4" i="90"/>
  <c r="Z91" i="89"/>
  <c r="X91" i="89"/>
  <c r="V91" i="89"/>
  <c r="L91" i="89"/>
  <c r="N91" i="89" s="1"/>
  <c r="T87" i="89"/>
  <c r="P87" i="89"/>
  <c r="N87" i="89"/>
  <c r="H87" i="89"/>
  <c r="D87" i="89"/>
  <c r="L87" i="89" s="1"/>
  <c r="Z85" i="89"/>
  <c r="X85" i="89"/>
  <c r="L85" i="89"/>
  <c r="N85" i="89" s="1"/>
  <c r="B85" i="89"/>
  <c r="X84" i="89"/>
  <c r="T84" i="89"/>
  <c r="Z84" i="89" s="1"/>
  <c r="P84" i="89"/>
  <c r="L84" i="89"/>
  <c r="H84" i="89"/>
  <c r="N84" i="89" s="1"/>
  <c r="D84" i="89"/>
  <c r="B84" i="89"/>
  <c r="X83" i="89"/>
  <c r="Z83" i="89" s="1"/>
  <c r="N83" i="89"/>
  <c r="L83" i="89"/>
  <c r="B83" i="89"/>
  <c r="Z82" i="89"/>
  <c r="X82" i="89"/>
  <c r="N82" i="89"/>
  <c r="L82" i="89"/>
  <c r="J82" i="89"/>
  <c r="B82" i="89"/>
  <c r="Z81" i="89"/>
  <c r="X81" i="89"/>
  <c r="V81" i="89"/>
  <c r="L81" i="89"/>
  <c r="N81" i="89" s="1"/>
  <c r="B81" i="89"/>
  <c r="X80" i="89"/>
  <c r="Z80" i="89" s="1"/>
  <c r="L80" i="89"/>
  <c r="N80" i="89" s="1"/>
  <c r="B80" i="89"/>
  <c r="Z79" i="89"/>
  <c r="X79" i="89"/>
  <c r="L79" i="89"/>
  <c r="N79" i="89" s="1"/>
  <c r="B79" i="89"/>
  <c r="X78" i="89"/>
  <c r="Z78" i="89" s="1"/>
  <c r="L78" i="89"/>
  <c r="N78" i="89" s="1"/>
  <c r="B78" i="89"/>
  <c r="X77" i="89"/>
  <c r="Z77" i="89" s="1"/>
  <c r="L77" i="89"/>
  <c r="N77" i="89" s="1"/>
  <c r="B77" i="89"/>
  <c r="Z76" i="89"/>
  <c r="X76" i="89"/>
  <c r="N76" i="89"/>
  <c r="L76" i="89"/>
  <c r="B76" i="89"/>
  <c r="V75" i="89"/>
  <c r="T75" i="89"/>
  <c r="P75" i="89"/>
  <c r="H75" i="89"/>
  <c r="D75" i="89"/>
  <c r="L75" i="89" s="1"/>
  <c r="B75" i="89"/>
  <c r="X74" i="89"/>
  <c r="Z74" i="89" s="1"/>
  <c r="N74" i="89"/>
  <c r="L74" i="89"/>
  <c r="B74" i="89"/>
  <c r="X73" i="89"/>
  <c r="Z73" i="89" s="1"/>
  <c r="N73" i="89"/>
  <c r="L73" i="89"/>
  <c r="B73" i="89"/>
  <c r="Z72" i="89"/>
  <c r="X72" i="89"/>
  <c r="N72" i="89"/>
  <c r="L72" i="89"/>
  <c r="B72" i="89"/>
  <c r="Z71" i="89"/>
  <c r="X71" i="89"/>
  <c r="N71" i="89"/>
  <c r="L71" i="89"/>
  <c r="B71" i="89"/>
  <c r="Z70" i="89"/>
  <c r="T70" i="89"/>
  <c r="X70" i="89" s="1"/>
  <c r="P70" i="89"/>
  <c r="H70" i="89"/>
  <c r="N70" i="89" s="1"/>
  <c r="D70" i="89"/>
  <c r="L70" i="89" s="1"/>
  <c r="B70" i="89"/>
  <c r="X69" i="89"/>
  <c r="Z69" i="89" s="1"/>
  <c r="V69" i="89"/>
  <c r="L69" i="89"/>
  <c r="N69" i="89" s="1"/>
  <c r="B69" i="89"/>
  <c r="X68" i="89"/>
  <c r="Z68" i="89" s="1"/>
  <c r="V68" i="89"/>
  <c r="N68" i="89"/>
  <c r="L68" i="89"/>
  <c r="B68" i="89"/>
  <c r="Z67" i="89"/>
  <c r="X67" i="89"/>
  <c r="V67" i="89"/>
  <c r="N67" i="89"/>
  <c r="L67" i="89"/>
  <c r="B67" i="89"/>
  <c r="T66" i="89"/>
  <c r="P66" i="89"/>
  <c r="X66" i="89" s="1"/>
  <c r="Z66" i="89" s="1"/>
  <c r="H66" i="89"/>
  <c r="L66" i="89" s="1"/>
  <c r="D66" i="89"/>
  <c r="B66" i="89"/>
  <c r="Z65" i="89"/>
  <c r="X65" i="89"/>
  <c r="L65" i="89"/>
  <c r="N65" i="89" s="1"/>
  <c r="B65" i="89"/>
  <c r="T64" i="89"/>
  <c r="P64" i="89"/>
  <c r="X64" i="89" s="1"/>
  <c r="Z64" i="89" s="1"/>
  <c r="H64" i="89"/>
  <c r="D64" i="89"/>
  <c r="L64" i="89" s="1"/>
  <c r="B64" i="89"/>
  <c r="Z63" i="89"/>
  <c r="X63" i="89"/>
  <c r="N63" i="89"/>
  <c r="L63" i="89"/>
  <c r="B63" i="89"/>
  <c r="X62" i="89"/>
  <c r="T62" i="89"/>
  <c r="P62" i="89"/>
  <c r="H62" i="89"/>
  <c r="D62" i="89"/>
  <c r="B62" i="89"/>
  <c r="Z61" i="89"/>
  <c r="X61" i="89"/>
  <c r="L61" i="89"/>
  <c r="N61" i="89" s="1"/>
  <c r="B61" i="89"/>
  <c r="T60" i="89"/>
  <c r="P60" i="89"/>
  <c r="X60" i="89" s="1"/>
  <c r="Z60" i="89" s="1"/>
  <c r="H60" i="89"/>
  <c r="N60" i="89" s="1"/>
  <c r="D60" i="89"/>
  <c r="L60" i="89" s="1"/>
  <c r="B60" i="89"/>
  <c r="Z59" i="89"/>
  <c r="X59" i="89"/>
  <c r="N59" i="89"/>
  <c r="L59" i="89"/>
  <c r="B59" i="89"/>
  <c r="T58" i="89"/>
  <c r="Z58" i="89" s="1"/>
  <c r="P58" i="89"/>
  <c r="X58" i="89" s="1"/>
  <c r="L58" i="89"/>
  <c r="N58" i="89" s="1"/>
  <c r="H58" i="89"/>
  <c r="D58" i="89"/>
  <c r="B58" i="89"/>
  <c r="X57" i="89"/>
  <c r="Z57" i="89" s="1"/>
  <c r="V57" i="89"/>
  <c r="L57" i="89"/>
  <c r="N57" i="89" s="1"/>
  <c r="B57" i="89"/>
  <c r="V56" i="89"/>
  <c r="T56" i="89"/>
  <c r="P56" i="89"/>
  <c r="X56" i="89" s="1"/>
  <c r="Z56" i="89" s="1"/>
  <c r="H56" i="89"/>
  <c r="D56" i="89"/>
  <c r="B56" i="89"/>
  <c r="Z55" i="89"/>
  <c r="X55" i="89"/>
  <c r="N55" i="89"/>
  <c r="L55" i="89"/>
  <c r="B55" i="89"/>
  <c r="T54" i="89"/>
  <c r="P54" i="89"/>
  <c r="H54" i="89"/>
  <c r="N54" i="89" s="1"/>
  <c r="D54" i="89"/>
  <c r="L54" i="89" s="1"/>
  <c r="B54" i="89"/>
  <c r="X53" i="89"/>
  <c r="Z53" i="89" s="1"/>
  <c r="V53" i="89"/>
  <c r="L53" i="89"/>
  <c r="N53" i="89" s="1"/>
  <c r="B53" i="89"/>
  <c r="T52" i="89"/>
  <c r="P52" i="89"/>
  <c r="X52" i="89" s="1"/>
  <c r="H52" i="89"/>
  <c r="D52" i="89"/>
  <c r="B52" i="89"/>
  <c r="Z51" i="89"/>
  <c r="X51" i="89"/>
  <c r="N51" i="89"/>
  <c r="L51" i="89"/>
  <c r="B51" i="89"/>
  <c r="T50" i="89"/>
  <c r="P50" i="89"/>
  <c r="X50" i="89" s="1"/>
  <c r="Z50" i="89" s="1"/>
  <c r="H50" i="89"/>
  <c r="D50" i="89"/>
  <c r="L50" i="89" s="1"/>
  <c r="N50" i="89" s="1"/>
  <c r="B50" i="89"/>
  <c r="X49" i="89"/>
  <c r="Z49" i="89" s="1"/>
  <c r="V49" i="89"/>
  <c r="L49" i="89"/>
  <c r="N49" i="89" s="1"/>
  <c r="B49" i="89"/>
  <c r="X48" i="89"/>
  <c r="Z48" i="89" s="1"/>
  <c r="V48" i="89"/>
  <c r="T48" i="89"/>
  <c r="P48" i="89"/>
  <c r="H48" i="89"/>
  <c r="D48" i="89"/>
  <c r="B48" i="89"/>
  <c r="Z47" i="89"/>
  <c r="X47" i="89"/>
  <c r="N47" i="89"/>
  <c r="L47" i="89"/>
  <c r="B47" i="89"/>
  <c r="Z46" i="89"/>
  <c r="X46" i="89"/>
  <c r="N46" i="89"/>
  <c r="L46" i="89"/>
  <c r="B46" i="89"/>
  <c r="X45" i="89"/>
  <c r="Z45" i="89" s="1"/>
  <c r="V45" i="89"/>
  <c r="L45" i="89"/>
  <c r="N45" i="89" s="1"/>
  <c r="J45" i="89"/>
  <c r="B45" i="89"/>
  <c r="Z44" i="89"/>
  <c r="X44" i="89"/>
  <c r="V44" i="89"/>
  <c r="N44" i="89"/>
  <c r="L44" i="89"/>
  <c r="B44" i="89"/>
  <c r="Z43" i="89"/>
  <c r="X43" i="89"/>
  <c r="N43" i="89"/>
  <c r="L43" i="89"/>
  <c r="B43" i="89"/>
  <c r="Z42" i="89"/>
  <c r="X42" i="89"/>
  <c r="N42" i="89"/>
  <c r="L42" i="89"/>
  <c r="B42" i="89"/>
  <c r="X41" i="89"/>
  <c r="Z41" i="89" s="1"/>
  <c r="V41" i="89"/>
  <c r="L41" i="89"/>
  <c r="N41" i="89" s="1"/>
  <c r="B41" i="89"/>
  <c r="Z40" i="89"/>
  <c r="X40" i="89"/>
  <c r="N40" i="89"/>
  <c r="L40" i="89"/>
  <c r="B40" i="89"/>
  <c r="Z39" i="89"/>
  <c r="X39" i="89"/>
  <c r="L39" i="89"/>
  <c r="N39" i="89" s="1"/>
  <c r="B39" i="89"/>
  <c r="Z38" i="89"/>
  <c r="X38" i="89"/>
  <c r="N38" i="89"/>
  <c r="L38" i="89"/>
  <c r="B38" i="89"/>
  <c r="V37" i="89"/>
  <c r="T37" i="89"/>
  <c r="P37" i="89"/>
  <c r="N37" i="89"/>
  <c r="H37" i="89"/>
  <c r="D37" i="89"/>
  <c r="L37" i="89" s="1"/>
  <c r="B37" i="89"/>
  <c r="Z36" i="89"/>
  <c r="X36" i="89"/>
  <c r="N36" i="89"/>
  <c r="L36" i="89"/>
  <c r="J36" i="89"/>
  <c r="B36" i="89"/>
  <c r="Z35" i="89"/>
  <c r="X35" i="89"/>
  <c r="N35" i="89"/>
  <c r="L35" i="89"/>
  <c r="B35" i="89"/>
  <c r="Z34" i="89"/>
  <c r="X34" i="89"/>
  <c r="N34" i="89"/>
  <c r="L34" i="89"/>
  <c r="B34" i="89"/>
  <c r="Z33" i="89"/>
  <c r="X33" i="89"/>
  <c r="V33" i="89"/>
  <c r="N33" i="89"/>
  <c r="L33" i="89"/>
  <c r="J33" i="89"/>
  <c r="B33" i="89"/>
  <c r="Z32" i="89"/>
  <c r="X32" i="89"/>
  <c r="V32" i="89"/>
  <c r="N32" i="89"/>
  <c r="L32" i="89"/>
  <c r="B32" i="89"/>
  <c r="Z31" i="89"/>
  <c r="X31" i="89"/>
  <c r="N31" i="89"/>
  <c r="L31" i="89"/>
  <c r="B31" i="89"/>
  <c r="Z30" i="89"/>
  <c r="X30" i="89"/>
  <c r="N30" i="89"/>
  <c r="L30" i="89"/>
  <c r="B30" i="89"/>
  <c r="Z29" i="89"/>
  <c r="X29" i="89"/>
  <c r="V29" i="89"/>
  <c r="L29" i="89"/>
  <c r="N29" i="89" s="1"/>
  <c r="J29" i="89"/>
  <c r="B29" i="89"/>
  <c r="X28" i="89"/>
  <c r="Z28" i="89" s="1"/>
  <c r="L28" i="89"/>
  <c r="N28" i="89" s="1"/>
  <c r="J28" i="89"/>
  <c r="B28" i="89"/>
  <c r="Z27" i="89"/>
  <c r="X27" i="89"/>
  <c r="N27" i="89"/>
  <c r="L27" i="89"/>
  <c r="B27" i="89"/>
  <c r="T26" i="89"/>
  <c r="P26" i="89"/>
  <c r="H26" i="89"/>
  <c r="D26" i="89"/>
  <c r="L26" i="89" s="1"/>
  <c r="B26" i="89"/>
  <c r="V25" i="89"/>
  <c r="T25" i="89"/>
  <c r="P25" i="89"/>
  <c r="X25" i="89" s="1"/>
  <c r="L25" i="89"/>
  <c r="N25" i="89" s="1"/>
  <c r="H25" i="89"/>
  <c r="D25" i="89"/>
  <c r="Z21" i="89"/>
  <c r="X21" i="89"/>
  <c r="V21" i="89"/>
  <c r="N21" i="89"/>
  <c r="L21" i="89"/>
  <c r="J21" i="89"/>
  <c r="B21" i="89"/>
  <c r="Z20" i="89"/>
  <c r="X20" i="89"/>
  <c r="V20" i="89"/>
  <c r="N20" i="89"/>
  <c r="L20" i="89"/>
  <c r="J20" i="89"/>
  <c r="B20" i="89"/>
  <c r="Z19" i="89"/>
  <c r="X19" i="89"/>
  <c r="L19" i="89"/>
  <c r="N19" i="89" s="1"/>
  <c r="B19" i="89"/>
  <c r="T18" i="89"/>
  <c r="P18" i="89"/>
  <c r="H18" i="89"/>
  <c r="D18" i="89"/>
  <c r="L18" i="89" s="1"/>
  <c r="N18" i="89" s="1"/>
  <c r="Z16" i="89"/>
  <c r="P16" i="89"/>
  <c r="X16" i="89" s="1"/>
  <c r="N16" i="89"/>
  <c r="L16" i="89"/>
  <c r="D16" i="89"/>
  <c r="B16" i="89"/>
  <c r="Z15" i="89"/>
  <c r="X15" i="89"/>
  <c r="P15" i="89"/>
  <c r="N15" i="89"/>
  <c r="L15" i="89"/>
  <c r="D15" i="89"/>
  <c r="B15" i="89"/>
  <c r="P14" i="89"/>
  <c r="X14" i="89" s="1"/>
  <c r="Z14" i="89" s="1"/>
  <c r="D14" i="89"/>
  <c r="L14" i="89" s="1"/>
  <c r="N14" i="89" s="1"/>
  <c r="B14" i="89"/>
  <c r="Z13" i="89"/>
  <c r="P13" i="89"/>
  <c r="X13" i="89" s="1"/>
  <c r="N13" i="89"/>
  <c r="D13" i="89"/>
  <c r="L13" i="89" s="1"/>
  <c r="B13" i="89"/>
  <c r="T12" i="89"/>
  <c r="V85" i="89" s="1"/>
  <c r="H12" i="89"/>
  <c r="J80" i="89" s="1"/>
  <c r="D6" i="89"/>
  <c r="D4" i="89"/>
  <c r="J61" i="88"/>
  <c r="Z59" i="88"/>
  <c r="X59" i="88"/>
  <c r="V59" i="88"/>
  <c r="N59" i="88"/>
  <c r="L59" i="88"/>
  <c r="V57" i="88"/>
  <c r="R57" i="88"/>
  <c r="Z55" i="88"/>
  <c r="T55" i="88"/>
  <c r="P55" i="88"/>
  <c r="X55" i="88" s="1"/>
  <c r="N55" i="88"/>
  <c r="H55" i="88"/>
  <c r="D55" i="88"/>
  <c r="L55" i="88" s="1"/>
  <c r="Z53" i="88"/>
  <c r="X53" i="88"/>
  <c r="N53" i="88"/>
  <c r="L53" i="88"/>
  <c r="B53" i="88"/>
  <c r="X52" i="88"/>
  <c r="T52" i="88"/>
  <c r="Z52" i="88" s="1"/>
  <c r="P52" i="88"/>
  <c r="J52" i="88"/>
  <c r="H52" i="88"/>
  <c r="N52" i="88" s="1"/>
  <c r="D52" i="88"/>
  <c r="B52" i="88"/>
  <c r="Z51" i="88"/>
  <c r="X51" i="88"/>
  <c r="N51" i="88"/>
  <c r="L51" i="88"/>
  <c r="J51" i="88"/>
  <c r="B51" i="88"/>
  <c r="V50" i="88"/>
  <c r="T50" i="88"/>
  <c r="P50" i="88"/>
  <c r="X50" i="88" s="1"/>
  <c r="L50" i="88"/>
  <c r="N50" i="88" s="1"/>
  <c r="H50" i="88"/>
  <c r="D50" i="88"/>
  <c r="B50" i="88"/>
  <c r="X49" i="88"/>
  <c r="Z49" i="88" s="1"/>
  <c r="L49" i="88"/>
  <c r="N49" i="88" s="1"/>
  <c r="J49" i="88"/>
  <c r="B49" i="88"/>
  <c r="X48" i="88"/>
  <c r="Z48" i="88" s="1"/>
  <c r="L48" i="88"/>
  <c r="N48" i="88" s="1"/>
  <c r="B48" i="88"/>
  <c r="Z47" i="88"/>
  <c r="T47" i="88"/>
  <c r="X47" i="88" s="1"/>
  <c r="P47" i="88"/>
  <c r="H47" i="88"/>
  <c r="D47" i="88"/>
  <c r="L47" i="88" s="1"/>
  <c r="N47" i="88" s="1"/>
  <c r="B47" i="88"/>
  <c r="Z46" i="88"/>
  <c r="X46" i="88"/>
  <c r="N46" i="88"/>
  <c r="L46" i="88"/>
  <c r="J46" i="88"/>
  <c r="B46" i="88"/>
  <c r="Z45" i="88"/>
  <c r="X45" i="88"/>
  <c r="L45" i="88"/>
  <c r="N45" i="88" s="1"/>
  <c r="J45" i="88"/>
  <c r="B45" i="88"/>
  <c r="T44" i="88"/>
  <c r="P44" i="88"/>
  <c r="X44" i="88" s="1"/>
  <c r="Z44" i="88" s="1"/>
  <c r="J44" i="88"/>
  <c r="H44" i="88"/>
  <c r="D44" i="88"/>
  <c r="B44" i="88"/>
  <c r="Z43" i="88"/>
  <c r="X43" i="88"/>
  <c r="N43" i="88"/>
  <c r="L43" i="88"/>
  <c r="B43" i="88"/>
  <c r="X42" i="88"/>
  <c r="T42" i="88"/>
  <c r="P42" i="88"/>
  <c r="L42" i="88"/>
  <c r="N42" i="88" s="1"/>
  <c r="H42" i="88"/>
  <c r="D42" i="88"/>
  <c r="B42" i="88"/>
  <c r="X41" i="88"/>
  <c r="Z41" i="88" s="1"/>
  <c r="L41" i="88"/>
  <c r="N41" i="88" s="1"/>
  <c r="B41" i="88"/>
  <c r="T40" i="88"/>
  <c r="P40" i="88"/>
  <c r="X40" i="88" s="1"/>
  <c r="Z40" i="88" s="1"/>
  <c r="L40" i="88"/>
  <c r="H40" i="88"/>
  <c r="D40" i="88"/>
  <c r="B40" i="88"/>
  <c r="Z39" i="88"/>
  <c r="X39" i="88"/>
  <c r="V39" i="88"/>
  <c r="R39" i="88"/>
  <c r="N39" i="88"/>
  <c r="L39" i="88"/>
  <c r="J39" i="88"/>
  <c r="B39" i="88"/>
  <c r="Z38" i="88"/>
  <c r="X38" i="88"/>
  <c r="V38" i="88"/>
  <c r="N38" i="88"/>
  <c r="L38" i="88"/>
  <c r="B38" i="88"/>
  <c r="Z37" i="88"/>
  <c r="X37" i="88"/>
  <c r="N37" i="88"/>
  <c r="L37" i="88"/>
  <c r="B37" i="88"/>
  <c r="Z36" i="88"/>
  <c r="X36" i="88"/>
  <c r="R36" i="88"/>
  <c r="N36" i="88"/>
  <c r="L36" i="88"/>
  <c r="F36" i="88"/>
  <c r="B36" i="88"/>
  <c r="Z35" i="88"/>
  <c r="X35" i="88"/>
  <c r="V35" i="88"/>
  <c r="R35" i="88"/>
  <c r="N35" i="88"/>
  <c r="L35" i="88"/>
  <c r="J35" i="88"/>
  <c r="B35" i="88"/>
  <c r="Z34" i="88"/>
  <c r="X34" i="88"/>
  <c r="V34" i="88"/>
  <c r="N34" i="88"/>
  <c r="L34" i="88"/>
  <c r="B34" i="88"/>
  <c r="Z33" i="88"/>
  <c r="X33" i="88"/>
  <c r="N33" i="88"/>
  <c r="L33" i="88"/>
  <c r="B33" i="88"/>
  <c r="Z32" i="88"/>
  <c r="X32" i="88"/>
  <c r="R32" i="88"/>
  <c r="N32" i="88"/>
  <c r="L32" i="88"/>
  <c r="F32" i="88"/>
  <c r="B32" i="88"/>
  <c r="Z31" i="88"/>
  <c r="X31" i="88"/>
  <c r="V31" i="88"/>
  <c r="R31" i="88"/>
  <c r="N31" i="88"/>
  <c r="L31" i="88"/>
  <c r="J31" i="88"/>
  <c r="B31" i="88"/>
  <c r="Z30" i="88"/>
  <c r="X30" i="88"/>
  <c r="V30" i="88"/>
  <c r="N30" i="88"/>
  <c r="L30" i="88"/>
  <c r="B30" i="88"/>
  <c r="X29" i="88"/>
  <c r="Z29" i="88" s="1"/>
  <c r="T29" i="88"/>
  <c r="R29" i="88"/>
  <c r="P29" i="88"/>
  <c r="H29" i="88"/>
  <c r="L29" i="88" s="1"/>
  <c r="F29" i="88"/>
  <c r="D29" i="88"/>
  <c r="B29" i="88"/>
  <c r="Z28" i="88"/>
  <c r="X28" i="88"/>
  <c r="N28" i="88"/>
  <c r="L28" i="88"/>
  <c r="F28" i="88"/>
  <c r="B28" i="88"/>
  <c r="Z27" i="88"/>
  <c r="X27" i="88"/>
  <c r="N27" i="88"/>
  <c r="L27" i="88"/>
  <c r="J27" i="88"/>
  <c r="B27" i="88"/>
  <c r="X26" i="88"/>
  <c r="Z26" i="88" s="1"/>
  <c r="L26" i="88"/>
  <c r="N26" i="88" s="1"/>
  <c r="J26" i="88"/>
  <c r="F26" i="88"/>
  <c r="B26" i="88"/>
  <c r="Z25" i="88"/>
  <c r="X25" i="88"/>
  <c r="N25" i="88"/>
  <c r="L25" i="88"/>
  <c r="J25" i="88"/>
  <c r="F25" i="88"/>
  <c r="B25" i="88"/>
  <c r="X24" i="88"/>
  <c r="Z24" i="88" s="1"/>
  <c r="L24" i="88"/>
  <c r="N24" i="88" s="1"/>
  <c r="J24" i="88"/>
  <c r="F24" i="88"/>
  <c r="B24" i="88"/>
  <c r="Z23" i="88"/>
  <c r="X23" i="88"/>
  <c r="N23" i="88"/>
  <c r="L23" i="88"/>
  <c r="J23" i="88"/>
  <c r="B23" i="88"/>
  <c r="X22" i="88"/>
  <c r="Z22" i="88" s="1"/>
  <c r="N22" i="88"/>
  <c r="L22" i="88"/>
  <c r="J22" i="88"/>
  <c r="B22" i="88"/>
  <c r="Z21" i="88"/>
  <c r="X21" i="88"/>
  <c r="V21" i="88"/>
  <c r="R21" i="88"/>
  <c r="L21" i="88"/>
  <c r="N21" i="88" s="1"/>
  <c r="B21" i="88"/>
  <c r="Z20" i="88"/>
  <c r="X20" i="88"/>
  <c r="V20" i="88"/>
  <c r="R20" i="88"/>
  <c r="L20" i="88"/>
  <c r="N20" i="88" s="1"/>
  <c r="B20" i="88"/>
  <c r="V19" i="88"/>
  <c r="T19" i="88"/>
  <c r="R19" i="88"/>
  <c r="P19" i="88"/>
  <c r="J19" i="88"/>
  <c r="H19" i="88"/>
  <c r="D19" i="88"/>
  <c r="L19" i="88" s="1"/>
  <c r="B19" i="88"/>
  <c r="X18" i="88"/>
  <c r="T18" i="88"/>
  <c r="R18" i="88"/>
  <c r="P18" i="88"/>
  <c r="L18" i="88"/>
  <c r="H18" i="88"/>
  <c r="F18" i="88"/>
  <c r="D18" i="88"/>
  <c r="V16" i="88"/>
  <c r="P16" i="88"/>
  <c r="N16" i="88"/>
  <c r="H16" i="88"/>
  <c r="H57" i="88" s="1"/>
  <c r="F16" i="88"/>
  <c r="V14" i="88"/>
  <c r="T14" i="88"/>
  <c r="Z14" i="88" s="1"/>
  <c r="R14" i="88"/>
  <c r="P14" i="88"/>
  <c r="N14" i="88"/>
  <c r="H14" i="88"/>
  <c r="D14" i="88"/>
  <c r="L14" i="88" s="1"/>
  <c r="Z12" i="88"/>
  <c r="X12" i="88"/>
  <c r="T12" i="88"/>
  <c r="V46" i="88" s="1"/>
  <c r="P12" i="88"/>
  <c r="R44" i="88" s="1"/>
  <c r="L12" i="88"/>
  <c r="H12" i="88"/>
  <c r="J47" i="88" s="1"/>
  <c r="D12" i="88"/>
  <c r="F48" i="88" s="1"/>
  <c r="D6" i="88"/>
  <c r="D4" i="88"/>
  <c r="R34" i="87"/>
  <c r="J34" i="87"/>
  <c r="R31" i="87"/>
  <c r="F31" i="87"/>
  <c r="Z29" i="87"/>
  <c r="X29" i="87"/>
  <c r="R29" i="87"/>
  <c r="N29" i="87"/>
  <c r="L29" i="87"/>
  <c r="J29" i="87"/>
  <c r="F27" i="87"/>
  <c r="T25" i="87"/>
  <c r="Z25" i="87" s="1"/>
  <c r="R25" i="87"/>
  <c r="P25" i="87"/>
  <c r="X25" i="87" s="1"/>
  <c r="N25" i="87"/>
  <c r="L25" i="87"/>
  <c r="H25" i="87"/>
  <c r="F25" i="87"/>
  <c r="D25" i="87"/>
  <c r="Z23" i="87"/>
  <c r="X23" i="87"/>
  <c r="R23" i="87"/>
  <c r="N23" i="87"/>
  <c r="L23" i="87"/>
  <c r="J23" i="87"/>
  <c r="B23" i="87"/>
  <c r="Z22" i="87"/>
  <c r="X22" i="87"/>
  <c r="V22" i="87"/>
  <c r="T22" i="87"/>
  <c r="R22" i="87"/>
  <c r="P22" i="87"/>
  <c r="J22" i="87"/>
  <c r="H22" i="87"/>
  <c r="N22" i="87" s="1"/>
  <c r="F22" i="87"/>
  <c r="D22" i="87"/>
  <c r="B22" i="87"/>
  <c r="Z21" i="87"/>
  <c r="X21" i="87"/>
  <c r="R21" i="87"/>
  <c r="L21" i="87"/>
  <c r="N21" i="87" s="1"/>
  <c r="B21" i="87"/>
  <c r="T20" i="87"/>
  <c r="R20" i="87"/>
  <c r="P20" i="87"/>
  <c r="H20" i="87"/>
  <c r="F20" i="87"/>
  <c r="D20" i="87"/>
  <c r="L20" i="87" s="1"/>
  <c r="N20" i="87" s="1"/>
  <c r="B20" i="87"/>
  <c r="T19" i="87"/>
  <c r="R19" i="87"/>
  <c r="P19" i="87"/>
  <c r="X19" i="87" s="1"/>
  <c r="L19" i="87"/>
  <c r="N19" i="87" s="1"/>
  <c r="H19" i="87"/>
  <c r="F19" i="87"/>
  <c r="D19" i="87"/>
  <c r="J17" i="87"/>
  <c r="H17" i="87"/>
  <c r="F17" i="87"/>
  <c r="D17" i="87"/>
  <c r="Z15" i="87"/>
  <c r="X15" i="87"/>
  <c r="R15" i="87"/>
  <c r="N15" i="87"/>
  <c r="L15" i="87"/>
  <c r="J15" i="87"/>
  <c r="F15" i="87"/>
  <c r="B15" i="87"/>
  <c r="Z14" i="87"/>
  <c r="T14" i="87"/>
  <c r="R14" i="87"/>
  <c r="P14" i="87"/>
  <c r="P17" i="87" s="1"/>
  <c r="N14" i="87"/>
  <c r="J14" i="87"/>
  <c r="H14" i="87"/>
  <c r="D14" i="87"/>
  <c r="L14" i="87" s="1"/>
  <c r="T12" i="87"/>
  <c r="V20" i="87" s="1"/>
  <c r="P12" i="87"/>
  <c r="R27" i="87" s="1"/>
  <c r="N12" i="87"/>
  <c r="L12" i="87"/>
  <c r="H12" i="87"/>
  <c r="J31" i="87" s="1"/>
  <c r="D12" i="87"/>
  <c r="F34" i="87" s="1"/>
  <c r="D6" i="87"/>
  <c r="D4" i="87"/>
  <c r="V30" i="86"/>
  <c r="R30" i="86"/>
  <c r="F30" i="86"/>
  <c r="Z28" i="86"/>
  <c r="X28" i="86"/>
  <c r="N28" i="86"/>
  <c r="L28" i="86"/>
  <c r="V24" i="86"/>
  <c r="T24" i="86"/>
  <c r="Z24" i="86" s="1"/>
  <c r="R24" i="86"/>
  <c r="P24" i="86"/>
  <c r="N24" i="86"/>
  <c r="H24" i="86"/>
  <c r="F24" i="86"/>
  <c r="D24" i="86"/>
  <c r="L24" i="86" s="1"/>
  <c r="Z22" i="86"/>
  <c r="X22" i="86"/>
  <c r="N22" i="86"/>
  <c r="L22" i="86"/>
  <c r="B22" i="86"/>
  <c r="V21" i="86"/>
  <c r="T21" i="86"/>
  <c r="Z21" i="86" s="1"/>
  <c r="P21" i="86"/>
  <c r="X21" i="86" s="1"/>
  <c r="N21" i="86"/>
  <c r="L21" i="86"/>
  <c r="H21" i="86"/>
  <c r="D21" i="86"/>
  <c r="B21" i="86"/>
  <c r="Z20" i="86"/>
  <c r="X20" i="86"/>
  <c r="V20" i="86"/>
  <c r="L20" i="86"/>
  <c r="N20" i="86" s="1"/>
  <c r="B20" i="86"/>
  <c r="X19" i="86"/>
  <c r="Z19" i="86" s="1"/>
  <c r="T19" i="86"/>
  <c r="P19" i="86"/>
  <c r="L19" i="86"/>
  <c r="H19" i="86"/>
  <c r="D19" i="86"/>
  <c r="B19" i="86"/>
  <c r="V18" i="86"/>
  <c r="T18" i="86"/>
  <c r="R18" i="86"/>
  <c r="P18" i="86"/>
  <c r="H18" i="86"/>
  <c r="N18" i="86" s="1"/>
  <c r="F18" i="86"/>
  <c r="D18" i="86"/>
  <c r="L18" i="86" s="1"/>
  <c r="V14" i="86"/>
  <c r="T14" i="86"/>
  <c r="T16" i="86" s="1"/>
  <c r="T26" i="86" s="1"/>
  <c r="T30" i="86" s="1"/>
  <c r="R14" i="86"/>
  <c r="P14" i="86"/>
  <c r="H14" i="86"/>
  <c r="N14" i="86" s="1"/>
  <c r="F14" i="86"/>
  <c r="D14" i="86"/>
  <c r="L14" i="86" s="1"/>
  <c r="Z12" i="86"/>
  <c r="T12" i="86"/>
  <c r="V19" i="86" s="1"/>
  <c r="P12" i="86"/>
  <c r="R20" i="86" s="1"/>
  <c r="H12" i="86"/>
  <c r="D12" i="86"/>
  <c r="F19" i="86" s="1"/>
  <c r="D6" i="86"/>
  <c r="D4" i="86"/>
  <c r="J55" i="85"/>
  <c r="F55" i="85"/>
  <c r="Z53" i="85"/>
  <c r="X53" i="85"/>
  <c r="N53" i="85"/>
  <c r="L53" i="85"/>
  <c r="J53" i="85"/>
  <c r="Z49" i="85"/>
  <c r="X49" i="85"/>
  <c r="P49" i="85"/>
  <c r="F49" i="85"/>
  <c r="D49" i="85"/>
  <c r="L49" i="85" s="1"/>
  <c r="N49" i="85" s="1"/>
  <c r="B49" i="85"/>
  <c r="T48" i="85"/>
  <c r="P48" i="85"/>
  <c r="X48" i="85" s="1"/>
  <c r="Z48" i="85" s="1"/>
  <c r="H48" i="85"/>
  <c r="Z46" i="85"/>
  <c r="X46" i="85"/>
  <c r="N46" i="85"/>
  <c r="L46" i="85"/>
  <c r="B46" i="85"/>
  <c r="Z45" i="85"/>
  <c r="X45" i="85"/>
  <c r="T45" i="85"/>
  <c r="P45" i="85"/>
  <c r="J45" i="85"/>
  <c r="H45" i="85"/>
  <c r="N45" i="85" s="1"/>
  <c r="F45" i="85"/>
  <c r="D45" i="85"/>
  <c r="B45" i="85"/>
  <c r="Z44" i="85"/>
  <c r="X44" i="85"/>
  <c r="N44" i="85"/>
  <c r="L44" i="85"/>
  <c r="B44" i="85"/>
  <c r="T43" i="85"/>
  <c r="Z43" i="85" s="1"/>
  <c r="P43" i="85"/>
  <c r="H43" i="85"/>
  <c r="N43" i="85" s="1"/>
  <c r="F43" i="85"/>
  <c r="D43" i="85"/>
  <c r="L43" i="85" s="1"/>
  <c r="B43" i="85"/>
  <c r="Z42" i="85"/>
  <c r="X42" i="85"/>
  <c r="N42" i="85"/>
  <c r="L42" i="85"/>
  <c r="F42" i="85"/>
  <c r="B42" i="85"/>
  <c r="T41" i="85"/>
  <c r="Z41" i="85" s="1"/>
  <c r="P41" i="85"/>
  <c r="X41" i="85" s="1"/>
  <c r="N41" i="85"/>
  <c r="H41" i="85"/>
  <c r="D41" i="85"/>
  <c r="L41" i="85" s="1"/>
  <c r="B41" i="85"/>
  <c r="Z40" i="85"/>
  <c r="X40" i="85"/>
  <c r="N40" i="85"/>
  <c r="L40" i="85"/>
  <c r="F40" i="85"/>
  <c r="B40" i="85"/>
  <c r="Z39" i="85"/>
  <c r="T39" i="85"/>
  <c r="P39" i="85"/>
  <c r="X39" i="85" s="1"/>
  <c r="N39" i="85"/>
  <c r="L39" i="85"/>
  <c r="J39" i="85"/>
  <c r="H39" i="85"/>
  <c r="D39" i="85"/>
  <c r="B39" i="85"/>
  <c r="Z38" i="85"/>
  <c r="X38" i="85"/>
  <c r="N38" i="85"/>
  <c r="L38" i="85"/>
  <c r="B38" i="85"/>
  <c r="Z37" i="85"/>
  <c r="X37" i="85"/>
  <c r="N37" i="85"/>
  <c r="L37" i="85"/>
  <c r="B37" i="85"/>
  <c r="Z36" i="85"/>
  <c r="X36" i="85"/>
  <c r="N36" i="85"/>
  <c r="L36" i="85"/>
  <c r="F36" i="85"/>
  <c r="B36" i="85"/>
  <c r="Z35" i="85"/>
  <c r="X35" i="85"/>
  <c r="N35" i="85"/>
  <c r="L35" i="85"/>
  <c r="J35" i="85"/>
  <c r="F35" i="85"/>
  <c r="B35" i="85"/>
  <c r="Z34" i="85"/>
  <c r="X34" i="85"/>
  <c r="N34" i="85"/>
  <c r="L34" i="85"/>
  <c r="F34" i="85"/>
  <c r="B34" i="85"/>
  <c r="Z33" i="85"/>
  <c r="X33" i="85"/>
  <c r="N33" i="85"/>
  <c r="L33" i="85"/>
  <c r="J33" i="85"/>
  <c r="B33" i="85"/>
  <c r="Z32" i="85"/>
  <c r="X32" i="85"/>
  <c r="N32" i="85"/>
  <c r="L32" i="85"/>
  <c r="B32" i="85"/>
  <c r="Z31" i="85"/>
  <c r="X31" i="85"/>
  <c r="N31" i="85"/>
  <c r="L31" i="85"/>
  <c r="F31" i="85"/>
  <c r="B31" i="85"/>
  <c r="Z30" i="85"/>
  <c r="X30" i="85"/>
  <c r="N30" i="85"/>
  <c r="L30" i="85"/>
  <c r="B30" i="85"/>
  <c r="Z29" i="85"/>
  <c r="X29" i="85"/>
  <c r="V29" i="85"/>
  <c r="N29" i="85"/>
  <c r="L29" i="85"/>
  <c r="B29" i="85"/>
  <c r="Z28" i="85"/>
  <c r="X28" i="85"/>
  <c r="T28" i="85"/>
  <c r="P28" i="85"/>
  <c r="L28" i="85"/>
  <c r="J28" i="85"/>
  <c r="H28" i="85"/>
  <c r="N28" i="85" s="1"/>
  <c r="D28" i="85"/>
  <c r="B28" i="85"/>
  <c r="Z27" i="85"/>
  <c r="X27" i="85"/>
  <c r="R27" i="85"/>
  <c r="N27" i="85"/>
  <c r="L27" i="85"/>
  <c r="F27" i="85"/>
  <c r="B27" i="85"/>
  <c r="Z26" i="85"/>
  <c r="X26" i="85"/>
  <c r="N26" i="85"/>
  <c r="L26" i="85"/>
  <c r="B26" i="85"/>
  <c r="Z25" i="85"/>
  <c r="X25" i="85"/>
  <c r="N25" i="85"/>
  <c r="L25" i="85"/>
  <c r="B25" i="85"/>
  <c r="Z24" i="85"/>
  <c r="X24" i="85"/>
  <c r="N24" i="85"/>
  <c r="L24" i="85"/>
  <c r="F24" i="85"/>
  <c r="B24" i="85"/>
  <c r="Z23" i="85"/>
  <c r="X23" i="85"/>
  <c r="N23" i="85"/>
  <c r="L23" i="85"/>
  <c r="J23" i="85"/>
  <c r="F23" i="85"/>
  <c r="B23" i="85"/>
  <c r="Z22" i="85"/>
  <c r="X22" i="85"/>
  <c r="N22" i="85"/>
  <c r="L22" i="85"/>
  <c r="J22" i="85"/>
  <c r="F22" i="85"/>
  <c r="B22" i="85"/>
  <c r="Z21" i="85"/>
  <c r="X21" i="85"/>
  <c r="N21" i="85"/>
  <c r="L21" i="85"/>
  <c r="J21" i="85"/>
  <c r="B21" i="85"/>
  <c r="Z20" i="85"/>
  <c r="X20" i="85"/>
  <c r="N20" i="85"/>
  <c r="L20" i="85"/>
  <c r="B20" i="85"/>
  <c r="T19" i="85"/>
  <c r="P19" i="85"/>
  <c r="H19" i="85"/>
  <c r="N19" i="85" s="1"/>
  <c r="F19" i="85"/>
  <c r="D19" i="85"/>
  <c r="L19" i="85" s="1"/>
  <c r="B19" i="85"/>
  <c r="T18" i="85"/>
  <c r="Z18" i="85" s="1"/>
  <c r="P18" i="85"/>
  <c r="X18" i="85" s="1"/>
  <c r="N18" i="85"/>
  <c r="L18" i="85"/>
  <c r="H18" i="85"/>
  <c r="F18" i="85"/>
  <c r="D18" i="85"/>
  <c r="H16" i="85"/>
  <c r="F16" i="85"/>
  <c r="D16" i="85"/>
  <c r="T14" i="85"/>
  <c r="Z14" i="85" s="1"/>
  <c r="P14" i="85"/>
  <c r="X14" i="85" s="1"/>
  <c r="N14" i="85"/>
  <c r="L14" i="85"/>
  <c r="H14" i="85"/>
  <c r="F14" i="85"/>
  <c r="D14" i="85"/>
  <c r="T12" i="85"/>
  <c r="V43" i="85" s="1"/>
  <c r="P12" i="85"/>
  <c r="H12" i="85"/>
  <c r="J48" i="85" s="1"/>
  <c r="D12" i="85"/>
  <c r="F53" i="85" s="1"/>
  <c r="D6" i="85"/>
  <c r="D4" i="85"/>
  <c r="X88" i="84"/>
  <c r="Z88" i="84" s="1"/>
  <c r="N88" i="84"/>
  <c r="L88" i="84"/>
  <c r="T84" i="84"/>
  <c r="Z84" i="84" s="1"/>
  <c r="P84" i="84"/>
  <c r="H84" i="84"/>
  <c r="N84" i="84" s="1"/>
  <c r="D84" i="84"/>
  <c r="L84" i="84" s="1"/>
  <c r="Z82" i="84"/>
  <c r="X82" i="84"/>
  <c r="N82" i="84"/>
  <c r="L82" i="84"/>
  <c r="B82" i="84"/>
  <c r="T81" i="84"/>
  <c r="Z81" i="84" s="1"/>
  <c r="P81" i="84"/>
  <c r="X81" i="84" s="1"/>
  <c r="L81" i="84"/>
  <c r="N81" i="84" s="1"/>
  <c r="H81" i="84"/>
  <c r="D81" i="84"/>
  <c r="B81" i="84"/>
  <c r="X80" i="84"/>
  <c r="Z80" i="84" s="1"/>
  <c r="V80" i="84"/>
  <c r="N80" i="84"/>
  <c r="L80" i="84"/>
  <c r="B80" i="84"/>
  <c r="X79" i="84"/>
  <c r="Z79" i="84" s="1"/>
  <c r="V79" i="84"/>
  <c r="T79" i="84"/>
  <c r="P79" i="84"/>
  <c r="H79" i="84"/>
  <c r="D79" i="84"/>
  <c r="B79" i="84"/>
  <c r="Z78" i="84"/>
  <c r="X78" i="84"/>
  <c r="N78" i="84"/>
  <c r="L78" i="84"/>
  <c r="B78" i="84"/>
  <c r="X77" i="84"/>
  <c r="Z77" i="84" s="1"/>
  <c r="R77" i="84"/>
  <c r="N77" i="84"/>
  <c r="L77" i="84"/>
  <c r="B77" i="84"/>
  <c r="T76" i="84"/>
  <c r="P76" i="84"/>
  <c r="H76" i="84"/>
  <c r="D76" i="84"/>
  <c r="B76" i="84"/>
  <c r="X75" i="84"/>
  <c r="Z75" i="84" s="1"/>
  <c r="N75" i="84"/>
  <c r="L75" i="84"/>
  <c r="B75" i="84"/>
  <c r="Z74" i="84"/>
  <c r="X74" i="84"/>
  <c r="L74" i="84"/>
  <c r="N74" i="84" s="1"/>
  <c r="B74" i="84"/>
  <c r="Z73" i="84"/>
  <c r="X73" i="84"/>
  <c r="N73" i="84"/>
  <c r="L73" i="84"/>
  <c r="F73" i="84"/>
  <c r="B73" i="84"/>
  <c r="X72" i="84"/>
  <c r="Z72" i="84" s="1"/>
  <c r="L72" i="84"/>
  <c r="N72" i="84" s="1"/>
  <c r="B72" i="84"/>
  <c r="Z71" i="84"/>
  <c r="X71" i="84"/>
  <c r="N71" i="84"/>
  <c r="L71" i="84"/>
  <c r="B71" i="84"/>
  <c r="X70" i="84"/>
  <c r="Z70" i="84" s="1"/>
  <c r="N70" i="84"/>
  <c r="L70" i="84"/>
  <c r="B70" i="84"/>
  <c r="Z69" i="84"/>
  <c r="X69" i="84"/>
  <c r="L69" i="84"/>
  <c r="N69" i="84" s="1"/>
  <c r="F69" i="84"/>
  <c r="B69" i="84"/>
  <c r="X68" i="84"/>
  <c r="Z68" i="84" s="1"/>
  <c r="L68" i="84"/>
  <c r="N68" i="84" s="1"/>
  <c r="F68" i="84"/>
  <c r="B68" i="84"/>
  <c r="T67" i="84"/>
  <c r="P67" i="84"/>
  <c r="X67" i="84" s="1"/>
  <c r="Z67" i="84" s="1"/>
  <c r="H67" i="84"/>
  <c r="D67" i="84"/>
  <c r="B67" i="84"/>
  <c r="X66" i="84"/>
  <c r="Z66" i="84" s="1"/>
  <c r="R66" i="84"/>
  <c r="L66" i="84"/>
  <c r="N66" i="84" s="1"/>
  <c r="B66" i="84"/>
  <c r="T65" i="84"/>
  <c r="P65" i="84"/>
  <c r="H65" i="84"/>
  <c r="D65" i="84"/>
  <c r="L65" i="84" s="1"/>
  <c r="N65" i="84" s="1"/>
  <c r="B65" i="84"/>
  <c r="Z64" i="84"/>
  <c r="X64" i="84"/>
  <c r="L64" i="84"/>
  <c r="N64" i="84" s="1"/>
  <c r="F64" i="84"/>
  <c r="B64" i="84"/>
  <c r="Z63" i="84"/>
  <c r="X63" i="84"/>
  <c r="L63" i="84"/>
  <c r="N63" i="84" s="1"/>
  <c r="J63" i="84"/>
  <c r="B63" i="84"/>
  <c r="Z62" i="84"/>
  <c r="X62" i="84"/>
  <c r="N62" i="84"/>
  <c r="L62" i="84"/>
  <c r="B62" i="84"/>
  <c r="X61" i="84"/>
  <c r="Z61" i="84" s="1"/>
  <c r="N61" i="84"/>
  <c r="L61" i="84"/>
  <c r="B61" i="84"/>
  <c r="T60" i="84"/>
  <c r="P60" i="84"/>
  <c r="H60" i="84"/>
  <c r="N60" i="84" s="1"/>
  <c r="D60" i="84"/>
  <c r="L60" i="84" s="1"/>
  <c r="B60" i="84"/>
  <c r="Z59" i="84"/>
  <c r="X59" i="84"/>
  <c r="L59" i="84"/>
  <c r="N59" i="84" s="1"/>
  <c r="J59" i="84"/>
  <c r="B59" i="84"/>
  <c r="X58" i="84"/>
  <c r="Z58" i="84" s="1"/>
  <c r="N58" i="84"/>
  <c r="L58" i="84"/>
  <c r="B58" i="84"/>
  <c r="T57" i="84"/>
  <c r="R57" i="84"/>
  <c r="P57" i="84"/>
  <c r="X57" i="84" s="1"/>
  <c r="H57" i="84"/>
  <c r="D57" i="84"/>
  <c r="L57" i="84" s="1"/>
  <c r="N57" i="84" s="1"/>
  <c r="B57" i="84"/>
  <c r="X56" i="84"/>
  <c r="Z56" i="84" s="1"/>
  <c r="N56" i="84"/>
  <c r="L56" i="84"/>
  <c r="J56" i="84"/>
  <c r="F56" i="84"/>
  <c r="B56" i="84"/>
  <c r="T55" i="84"/>
  <c r="P55" i="84"/>
  <c r="X55" i="84" s="1"/>
  <c r="Z55" i="84" s="1"/>
  <c r="N55" i="84"/>
  <c r="L55" i="84"/>
  <c r="H55" i="84"/>
  <c r="D55" i="84"/>
  <c r="B55" i="84"/>
  <c r="X54" i="84"/>
  <c r="Z54" i="84" s="1"/>
  <c r="N54" i="84"/>
  <c r="L54" i="84"/>
  <c r="B54" i="84"/>
  <c r="Z53" i="84"/>
  <c r="X53" i="84"/>
  <c r="T53" i="84"/>
  <c r="P53" i="84"/>
  <c r="L53" i="84"/>
  <c r="J53" i="84"/>
  <c r="H53" i="84"/>
  <c r="N53" i="84" s="1"/>
  <c r="D53" i="84"/>
  <c r="B53" i="84"/>
  <c r="Z52" i="84"/>
  <c r="X52" i="84"/>
  <c r="V52" i="84"/>
  <c r="R52" i="84"/>
  <c r="N52" i="84"/>
  <c r="L52" i="84"/>
  <c r="B52" i="84"/>
  <c r="X51" i="84"/>
  <c r="V51" i="84"/>
  <c r="T51" i="84"/>
  <c r="Z51" i="84" s="1"/>
  <c r="P51" i="84"/>
  <c r="H51" i="84"/>
  <c r="N51" i="84" s="1"/>
  <c r="F51" i="84"/>
  <c r="D51" i="84"/>
  <c r="L51" i="84" s="1"/>
  <c r="B51" i="84"/>
  <c r="X50" i="84"/>
  <c r="Z50" i="84" s="1"/>
  <c r="L50" i="84"/>
  <c r="N50" i="84" s="1"/>
  <c r="B50" i="84"/>
  <c r="Z49" i="84"/>
  <c r="X49" i="84"/>
  <c r="N49" i="84"/>
  <c r="L49" i="84"/>
  <c r="B49" i="84"/>
  <c r="T48" i="84"/>
  <c r="P48" i="84"/>
  <c r="X48" i="84" s="1"/>
  <c r="H48" i="84"/>
  <c r="D48" i="84"/>
  <c r="L48" i="84" s="1"/>
  <c r="N48" i="84" s="1"/>
  <c r="B48" i="84"/>
  <c r="Z47" i="84"/>
  <c r="X47" i="84"/>
  <c r="L47" i="84"/>
  <c r="N47" i="84" s="1"/>
  <c r="J47" i="84"/>
  <c r="B47" i="84"/>
  <c r="T46" i="84"/>
  <c r="P46" i="84"/>
  <c r="X46" i="84" s="1"/>
  <c r="L46" i="84"/>
  <c r="H46" i="84"/>
  <c r="N46" i="84" s="1"/>
  <c r="D46" i="84"/>
  <c r="B46" i="84"/>
  <c r="Z45" i="84"/>
  <c r="X45" i="84"/>
  <c r="N45" i="84"/>
  <c r="L45" i="84"/>
  <c r="B45" i="84"/>
  <c r="X44" i="84"/>
  <c r="T44" i="84"/>
  <c r="Z44" i="84" s="1"/>
  <c r="P44" i="84"/>
  <c r="N44" i="84"/>
  <c r="L44" i="84"/>
  <c r="H44" i="84"/>
  <c r="D44" i="84"/>
  <c r="B44" i="84"/>
  <c r="Z43" i="84"/>
  <c r="X43" i="84"/>
  <c r="V43" i="84"/>
  <c r="N43" i="84"/>
  <c r="L43" i="84"/>
  <c r="B43" i="84"/>
  <c r="Z42" i="84"/>
  <c r="X42" i="84"/>
  <c r="N42" i="84"/>
  <c r="L42" i="84"/>
  <c r="B42" i="84"/>
  <c r="Z41" i="84"/>
  <c r="X41" i="84"/>
  <c r="N41" i="84"/>
  <c r="L41" i="84"/>
  <c r="F41" i="84"/>
  <c r="B41" i="84"/>
  <c r="X40" i="84"/>
  <c r="Z40" i="84" s="1"/>
  <c r="L40" i="84"/>
  <c r="N40" i="84" s="1"/>
  <c r="J40" i="84"/>
  <c r="F40" i="84"/>
  <c r="B40" i="84"/>
  <c r="Z39" i="84"/>
  <c r="X39" i="84"/>
  <c r="N39" i="84"/>
  <c r="L39" i="84"/>
  <c r="J39" i="84"/>
  <c r="B39" i="84"/>
  <c r="X38" i="84"/>
  <c r="Z38" i="84" s="1"/>
  <c r="L38" i="84"/>
  <c r="N38" i="84" s="1"/>
  <c r="B38" i="84"/>
  <c r="Z37" i="84"/>
  <c r="X37" i="84"/>
  <c r="R37" i="84"/>
  <c r="N37" i="84"/>
  <c r="L37" i="84"/>
  <c r="B37" i="84"/>
  <c r="Z36" i="84"/>
  <c r="X36" i="84"/>
  <c r="V36" i="84"/>
  <c r="R36" i="84"/>
  <c r="N36" i="84"/>
  <c r="L36" i="84"/>
  <c r="B36" i="84"/>
  <c r="Z35" i="84"/>
  <c r="X35" i="84"/>
  <c r="V35" i="84"/>
  <c r="N35" i="84"/>
  <c r="L35" i="84"/>
  <c r="B35" i="84"/>
  <c r="Z34" i="84"/>
  <c r="X34" i="84"/>
  <c r="N34" i="84"/>
  <c r="L34" i="84"/>
  <c r="B34" i="84"/>
  <c r="Z33" i="84"/>
  <c r="X33" i="84"/>
  <c r="T33" i="84"/>
  <c r="P33" i="84"/>
  <c r="L33" i="84"/>
  <c r="J33" i="84"/>
  <c r="H33" i="84"/>
  <c r="N33" i="84" s="1"/>
  <c r="D33" i="84"/>
  <c r="B33" i="84"/>
  <c r="X32" i="84"/>
  <c r="Z32" i="84" s="1"/>
  <c r="V32" i="84"/>
  <c r="R32" i="84"/>
  <c r="L32" i="84"/>
  <c r="N32" i="84" s="1"/>
  <c r="B32" i="84"/>
  <c r="X31" i="84"/>
  <c r="Z31" i="84" s="1"/>
  <c r="V31" i="84"/>
  <c r="N31" i="84"/>
  <c r="L31" i="84"/>
  <c r="B31" i="84"/>
  <c r="X30" i="84"/>
  <c r="Z30" i="84" s="1"/>
  <c r="L30" i="84"/>
  <c r="N30" i="84" s="1"/>
  <c r="B30" i="84"/>
  <c r="Z29" i="84"/>
  <c r="X29" i="84"/>
  <c r="N29" i="84"/>
  <c r="L29" i="84"/>
  <c r="F29" i="84"/>
  <c r="B29" i="84"/>
  <c r="Z28" i="84"/>
  <c r="X28" i="84"/>
  <c r="N28" i="84"/>
  <c r="L28" i="84"/>
  <c r="J28" i="84"/>
  <c r="F28" i="84"/>
  <c r="B28" i="84"/>
  <c r="Z27" i="84"/>
  <c r="X27" i="84"/>
  <c r="L27" i="84"/>
  <c r="N27" i="84" s="1"/>
  <c r="J27" i="84"/>
  <c r="B27" i="84"/>
  <c r="X26" i="84"/>
  <c r="Z26" i="84" s="1"/>
  <c r="L26" i="84"/>
  <c r="N26" i="84" s="1"/>
  <c r="B26" i="84"/>
  <c r="Z25" i="84"/>
  <c r="X25" i="84"/>
  <c r="R25" i="84"/>
  <c r="N25" i="84"/>
  <c r="L25" i="84"/>
  <c r="J25" i="84"/>
  <c r="B25" i="84"/>
  <c r="X24" i="84"/>
  <c r="Z24" i="84" s="1"/>
  <c r="V24" i="84"/>
  <c r="R24" i="84"/>
  <c r="L24" i="84"/>
  <c r="N24" i="84" s="1"/>
  <c r="B24" i="84"/>
  <c r="X23" i="84"/>
  <c r="V23" i="84"/>
  <c r="T23" i="84"/>
  <c r="Z23" i="84" s="1"/>
  <c r="P23" i="84"/>
  <c r="H23" i="84"/>
  <c r="N23" i="84" s="1"/>
  <c r="F23" i="84"/>
  <c r="D23" i="84"/>
  <c r="L23" i="84" s="1"/>
  <c r="B23" i="84"/>
  <c r="T22" i="84"/>
  <c r="R22" i="84"/>
  <c r="P22" i="84"/>
  <c r="X22" i="84" s="1"/>
  <c r="L22" i="84"/>
  <c r="H22" i="84"/>
  <c r="N22" i="84" s="1"/>
  <c r="D22" i="84"/>
  <c r="H20" i="84"/>
  <c r="H86" i="84" s="1"/>
  <c r="Z18" i="84"/>
  <c r="X18" i="84"/>
  <c r="N18" i="84"/>
  <c r="L18" i="84"/>
  <c r="B18" i="84"/>
  <c r="Z17" i="84"/>
  <c r="X17" i="84"/>
  <c r="V17" i="84"/>
  <c r="R17" i="84"/>
  <c r="N17" i="84"/>
  <c r="L17" i="84"/>
  <c r="J17" i="84"/>
  <c r="B17" i="84"/>
  <c r="T16" i="84"/>
  <c r="P16" i="84"/>
  <c r="X16" i="84" s="1"/>
  <c r="H16" i="84"/>
  <c r="N16" i="84" s="1"/>
  <c r="F16" i="84"/>
  <c r="D16" i="84"/>
  <c r="L16" i="84" s="1"/>
  <c r="X14" i="84"/>
  <c r="Z14" i="84" s="1"/>
  <c r="P14" i="84"/>
  <c r="D14" i="84"/>
  <c r="L14" i="84" s="1"/>
  <c r="N14" i="84" s="1"/>
  <c r="B14" i="84"/>
  <c r="P13" i="84"/>
  <c r="X13" i="84" s="1"/>
  <c r="Z13" i="84" s="1"/>
  <c r="L13" i="84"/>
  <c r="N13" i="84" s="1"/>
  <c r="D13" i="84"/>
  <c r="B13" i="84"/>
  <c r="X12" i="84"/>
  <c r="Z12" i="84" s="1"/>
  <c r="T12" i="84"/>
  <c r="V53" i="84" s="1"/>
  <c r="P12" i="84"/>
  <c r="H12" i="84"/>
  <c r="J72" i="84" s="1"/>
  <c r="D12" i="84"/>
  <c r="F72" i="84" s="1"/>
  <c r="D6" i="84"/>
  <c r="D4" i="84"/>
  <c r="X94" i="83"/>
  <c r="Z94" i="83" s="1"/>
  <c r="L94" i="83"/>
  <c r="N94" i="83" s="1"/>
  <c r="Z90" i="83"/>
  <c r="X90" i="83"/>
  <c r="P90" i="83"/>
  <c r="N90" i="83"/>
  <c r="D90" i="83"/>
  <c r="L90" i="83" s="1"/>
  <c r="B90" i="83"/>
  <c r="Z89" i="83"/>
  <c r="T89" i="83"/>
  <c r="P89" i="83"/>
  <c r="X89" i="83" s="1"/>
  <c r="N89" i="83"/>
  <c r="J89" i="83"/>
  <c r="H89" i="83"/>
  <c r="Z87" i="83"/>
  <c r="X87" i="83"/>
  <c r="N87" i="83"/>
  <c r="L87" i="83"/>
  <c r="B87" i="83"/>
  <c r="T86" i="83"/>
  <c r="P86" i="83"/>
  <c r="X86" i="83" s="1"/>
  <c r="H86" i="83"/>
  <c r="D86" i="83"/>
  <c r="L86" i="83" s="1"/>
  <c r="B86" i="83"/>
  <c r="Z85" i="83"/>
  <c r="X85" i="83"/>
  <c r="N85" i="83"/>
  <c r="L85" i="83"/>
  <c r="J85" i="83"/>
  <c r="B85" i="83"/>
  <c r="T84" i="83"/>
  <c r="Z84" i="83" s="1"/>
  <c r="P84" i="83"/>
  <c r="X84" i="83" s="1"/>
  <c r="H84" i="83"/>
  <c r="N84" i="83" s="1"/>
  <c r="D84" i="83"/>
  <c r="L84" i="83" s="1"/>
  <c r="B84" i="83"/>
  <c r="Z83" i="83"/>
  <c r="X83" i="83"/>
  <c r="N83" i="83"/>
  <c r="L83" i="83"/>
  <c r="B83" i="83"/>
  <c r="X82" i="83"/>
  <c r="Z82" i="83" s="1"/>
  <c r="L82" i="83"/>
  <c r="N82" i="83" s="1"/>
  <c r="B82" i="83"/>
  <c r="T81" i="83"/>
  <c r="P81" i="83"/>
  <c r="X81" i="83" s="1"/>
  <c r="Z81" i="83" s="1"/>
  <c r="N81" i="83"/>
  <c r="L81" i="83"/>
  <c r="H81" i="83"/>
  <c r="D81" i="83"/>
  <c r="B81" i="83"/>
  <c r="X80" i="83"/>
  <c r="Z80" i="83" s="1"/>
  <c r="N80" i="83"/>
  <c r="L80" i="83"/>
  <c r="B80" i="83"/>
  <c r="Z79" i="83"/>
  <c r="X79" i="83"/>
  <c r="N79" i="83"/>
  <c r="L79" i="83"/>
  <c r="B79" i="83"/>
  <c r="X78" i="83"/>
  <c r="Z78" i="83" s="1"/>
  <c r="L78" i="83"/>
  <c r="N78" i="83" s="1"/>
  <c r="B78" i="83"/>
  <c r="Z77" i="83"/>
  <c r="X77" i="83"/>
  <c r="N77" i="83"/>
  <c r="L77" i="83"/>
  <c r="J77" i="83"/>
  <c r="B77" i="83"/>
  <c r="X76" i="83"/>
  <c r="Z76" i="83" s="1"/>
  <c r="L76" i="83"/>
  <c r="N76" i="83" s="1"/>
  <c r="B76" i="83"/>
  <c r="Z75" i="83"/>
  <c r="X75" i="83"/>
  <c r="N75" i="83"/>
  <c r="L75" i="83"/>
  <c r="B75" i="83"/>
  <c r="T74" i="83"/>
  <c r="P74" i="83"/>
  <c r="H74" i="83"/>
  <c r="N74" i="83" s="1"/>
  <c r="D74" i="83"/>
  <c r="L74" i="83" s="1"/>
  <c r="B74" i="83"/>
  <c r="Z73" i="83"/>
  <c r="X73" i="83"/>
  <c r="N73" i="83"/>
  <c r="L73" i="83"/>
  <c r="B73" i="83"/>
  <c r="T72" i="83"/>
  <c r="P72" i="83"/>
  <c r="X72" i="83" s="1"/>
  <c r="H72" i="83"/>
  <c r="D72" i="83"/>
  <c r="L72" i="83" s="1"/>
  <c r="B72" i="83"/>
  <c r="Z71" i="83"/>
  <c r="X71" i="83"/>
  <c r="N71" i="83"/>
  <c r="L71" i="83"/>
  <c r="J71" i="83"/>
  <c r="B71" i="83"/>
  <c r="X70" i="83"/>
  <c r="Z70" i="83" s="1"/>
  <c r="L70" i="83"/>
  <c r="N70" i="83" s="1"/>
  <c r="B70" i="83"/>
  <c r="Z69" i="83"/>
  <c r="X69" i="83"/>
  <c r="N69" i="83"/>
  <c r="L69" i="83"/>
  <c r="J69" i="83"/>
  <c r="B69" i="83"/>
  <c r="X68" i="83"/>
  <c r="Z68" i="83" s="1"/>
  <c r="L68" i="83"/>
  <c r="N68" i="83" s="1"/>
  <c r="B68" i="83"/>
  <c r="T67" i="83"/>
  <c r="Z67" i="83" s="1"/>
  <c r="P67" i="83"/>
  <c r="X67" i="83" s="1"/>
  <c r="H67" i="83"/>
  <c r="D67" i="83"/>
  <c r="L67" i="83" s="1"/>
  <c r="N67" i="83" s="1"/>
  <c r="B67" i="83"/>
  <c r="X66" i="83"/>
  <c r="Z66" i="83" s="1"/>
  <c r="L66" i="83"/>
  <c r="N66" i="83" s="1"/>
  <c r="J66" i="83"/>
  <c r="B66" i="83"/>
  <c r="Z65" i="83"/>
  <c r="X65" i="83"/>
  <c r="N65" i="83"/>
  <c r="L65" i="83"/>
  <c r="B65" i="83"/>
  <c r="T64" i="83"/>
  <c r="P64" i="83"/>
  <c r="X64" i="83" s="1"/>
  <c r="H64" i="83"/>
  <c r="D64" i="83"/>
  <c r="L64" i="83" s="1"/>
  <c r="N64" i="83" s="1"/>
  <c r="B64" i="83"/>
  <c r="Z63" i="83"/>
  <c r="X63" i="83"/>
  <c r="N63" i="83"/>
  <c r="L63" i="83"/>
  <c r="B63" i="83"/>
  <c r="T62" i="83"/>
  <c r="P62" i="83"/>
  <c r="X62" i="83" s="1"/>
  <c r="Z62" i="83" s="1"/>
  <c r="N62" i="83"/>
  <c r="L62" i="83"/>
  <c r="H62" i="83"/>
  <c r="D62" i="83"/>
  <c r="B62" i="83"/>
  <c r="X61" i="83"/>
  <c r="Z61" i="83" s="1"/>
  <c r="N61" i="83"/>
  <c r="L61" i="83"/>
  <c r="B61" i="83"/>
  <c r="X60" i="83"/>
  <c r="Z60" i="83" s="1"/>
  <c r="T60" i="83"/>
  <c r="P60" i="83"/>
  <c r="L60" i="83"/>
  <c r="J60" i="83"/>
  <c r="H60" i="83"/>
  <c r="D60" i="83"/>
  <c r="B60" i="83"/>
  <c r="Z59" i="83"/>
  <c r="X59" i="83"/>
  <c r="N59" i="83"/>
  <c r="L59" i="83"/>
  <c r="B59" i="83"/>
  <c r="X58" i="83"/>
  <c r="T58" i="83"/>
  <c r="P58" i="83"/>
  <c r="H58" i="83"/>
  <c r="N58" i="83" s="1"/>
  <c r="D58" i="83"/>
  <c r="B58" i="83"/>
  <c r="Z57" i="83"/>
  <c r="X57" i="83"/>
  <c r="L57" i="83"/>
  <c r="N57" i="83" s="1"/>
  <c r="B57" i="83"/>
  <c r="T56" i="83"/>
  <c r="P56" i="83"/>
  <c r="X56" i="83" s="1"/>
  <c r="H56" i="83"/>
  <c r="N56" i="83" s="1"/>
  <c r="D56" i="83"/>
  <c r="L56" i="83" s="1"/>
  <c r="B56" i="83"/>
  <c r="Z55" i="83"/>
  <c r="X55" i="83"/>
  <c r="N55" i="83"/>
  <c r="L55" i="83"/>
  <c r="B55" i="83"/>
  <c r="Z54" i="83"/>
  <c r="X54" i="83"/>
  <c r="N54" i="83"/>
  <c r="L54" i="83"/>
  <c r="B54" i="83"/>
  <c r="T53" i="83"/>
  <c r="P53" i="83"/>
  <c r="X53" i="83" s="1"/>
  <c r="Z53" i="83" s="1"/>
  <c r="N53" i="83"/>
  <c r="L53" i="83"/>
  <c r="H53" i="83"/>
  <c r="D53" i="83"/>
  <c r="B53" i="83"/>
  <c r="X52" i="83"/>
  <c r="Z52" i="83" s="1"/>
  <c r="N52" i="83"/>
  <c r="L52" i="83"/>
  <c r="B52" i="83"/>
  <c r="Z51" i="83"/>
  <c r="X51" i="83"/>
  <c r="T51" i="83"/>
  <c r="P51" i="83"/>
  <c r="L51" i="83"/>
  <c r="N51" i="83" s="1"/>
  <c r="H51" i="83"/>
  <c r="D51" i="83"/>
  <c r="B51" i="83"/>
  <c r="X50" i="83"/>
  <c r="Z50" i="83" s="1"/>
  <c r="V50" i="83"/>
  <c r="N50" i="83"/>
  <c r="L50" i="83"/>
  <c r="B50" i="83"/>
  <c r="X49" i="83"/>
  <c r="Z49" i="83" s="1"/>
  <c r="T49" i="83"/>
  <c r="P49" i="83"/>
  <c r="J49" i="83"/>
  <c r="H49" i="83"/>
  <c r="D49" i="83"/>
  <c r="B49" i="83"/>
  <c r="Z48" i="83"/>
  <c r="X48" i="83"/>
  <c r="N48" i="83"/>
  <c r="L48" i="83"/>
  <c r="B48" i="83"/>
  <c r="T47" i="83"/>
  <c r="Z47" i="83" s="1"/>
  <c r="P47" i="83"/>
  <c r="X47" i="83" s="1"/>
  <c r="H47" i="83"/>
  <c r="N47" i="83" s="1"/>
  <c r="D47" i="83"/>
  <c r="L47" i="83" s="1"/>
  <c r="B47" i="83"/>
  <c r="Z46" i="83"/>
  <c r="X46" i="83"/>
  <c r="N46" i="83"/>
  <c r="L46" i="83"/>
  <c r="B46" i="83"/>
  <c r="Z45" i="83"/>
  <c r="X45" i="83"/>
  <c r="N45" i="83"/>
  <c r="L45" i="83"/>
  <c r="J45" i="83"/>
  <c r="B45" i="83"/>
  <c r="Z44" i="83"/>
  <c r="X44" i="83"/>
  <c r="L44" i="83"/>
  <c r="N44" i="83" s="1"/>
  <c r="B44" i="83"/>
  <c r="X43" i="83"/>
  <c r="Z43" i="83" s="1"/>
  <c r="N43" i="83"/>
  <c r="L43" i="83"/>
  <c r="B43" i="83"/>
  <c r="Z42" i="83"/>
  <c r="X42" i="83"/>
  <c r="N42" i="83"/>
  <c r="L42" i="83"/>
  <c r="B42" i="83"/>
  <c r="Z41" i="83"/>
  <c r="X41" i="83"/>
  <c r="N41" i="83"/>
  <c r="L41" i="83"/>
  <c r="B41" i="83"/>
  <c r="Z40" i="83"/>
  <c r="X40" i="83"/>
  <c r="V40" i="83"/>
  <c r="N40" i="83"/>
  <c r="L40" i="83"/>
  <c r="B40" i="83"/>
  <c r="Z39" i="83"/>
  <c r="X39" i="83"/>
  <c r="N39" i="83"/>
  <c r="L39" i="83"/>
  <c r="B39" i="83"/>
  <c r="Z38" i="83"/>
  <c r="X38" i="83"/>
  <c r="L38" i="83"/>
  <c r="N38" i="83" s="1"/>
  <c r="B38" i="83"/>
  <c r="Z37" i="83"/>
  <c r="X37" i="83"/>
  <c r="N37" i="83"/>
  <c r="L37" i="83"/>
  <c r="B37" i="83"/>
  <c r="T36" i="83"/>
  <c r="P36" i="83"/>
  <c r="X36" i="83" s="1"/>
  <c r="Z36" i="83" s="1"/>
  <c r="N36" i="83"/>
  <c r="L36" i="83"/>
  <c r="J36" i="83"/>
  <c r="H36" i="83"/>
  <c r="D36" i="83"/>
  <c r="B36" i="83"/>
  <c r="X35" i="83"/>
  <c r="Z35" i="83" s="1"/>
  <c r="L35" i="83"/>
  <c r="N35" i="83" s="1"/>
  <c r="B35" i="83"/>
  <c r="Z34" i="83"/>
  <c r="X34" i="83"/>
  <c r="L34" i="83"/>
  <c r="N34" i="83" s="1"/>
  <c r="B34" i="83"/>
  <c r="X33" i="83"/>
  <c r="Z33" i="83" s="1"/>
  <c r="L33" i="83"/>
  <c r="N33" i="83" s="1"/>
  <c r="B33" i="83"/>
  <c r="Z32" i="83"/>
  <c r="X32" i="83"/>
  <c r="N32" i="83"/>
  <c r="L32" i="83"/>
  <c r="J32" i="83"/>
  <c r="B32" i="83"/>
  <c r="X31" i="83"/>
  <c r="Z31" i="83" s="1"/>
  <c r="L31" i="83"/>
  <c r="N31" i="83" s="1"/>
  <c r="B31" i="83"/>
  <c r="X30" i="83"/>
  <c r="Z30" i="83" s="1"/>
  <c r="N30" i="83"/>
  <c r="L30" i="83"/>
  <c r="J30" i="83"/>
  <c r="B30" i="83"/>
  <c r="X29" i="83"/>
  <c r="Z29" i="83" s="1"/>
  <c r="L29" i="83"/>
  <c r="N29" i="83" s="1"/>
  <c r="B29" i="83"/>
  <c r="Z28" i="83"/>
  <c r="X28" i="83"/>
  <c r="V28" i="83"/>
  <c r="N28" i="83"/>
  <c r="L28" i="83"/>
  <c r="B28" i="83"/>
  <c r="X27" i="83"/>
  <c r="Z27" i="83" s="1"/>
  <c r="L27" i="83"/>
  <c r="N27" i="83" s="1"/>
  <c r="B27" i="83"/>
  <c r="Z26" i="83"/>
  <c r="X26" i="83"/>
  <c r="T26" i="83"/>
  <c r="P26" i="83"/>
  <c r="J26" i="83"/>
  <c r="H26" i="83"/>
  <c r="L26" i="83" s="1"/>
  <c r="N26" i="83" s="1"/>
  <c r="D26" i="83"/>
  <c r="B26" i="83"/>
  <c r="T25" i="83"/>
  <c r="P25" i="83"/>
  <c r="H25" i="83"/>
  <c r="D25" i="83"/>
  <c r="L25" i="83" s="1"/>
  <c r="H23" i="83"/>
  <c r="Z21" i="83"/>
  <c r="X21" i="83"/>
  <c r="N21" i="83"/>
  <c r="L21" i="83"/>
  <c r="B21" i="83"/>
  <c r="Z20" i="83"/>
  <c r="X20" i="83"/>
  <c r="V20" i="83"/>
  <c r="N20" i="83"/>
  <c r="L20" i="83"/>
  <c r="B20" i="83"/>
  <c r="X19" i="83"/>
  <c r="Z19" i="83" s="1"/>
  <c r="L19" i="83"/>
  <c r="N19" i="83" s="1"/>
  <c r="B19" i="83"/>
  <c r="Z18" i="83"/>
  <c r="V18" i="83"/>
  <c r="T18" i="83"/>
  <c r="P18" i="83"/>
  <c r="X18" i="83" s="1"/>
  <c r="J18" i="83"/>
  <c r="H18" i="83"/>
  <c r="L18" i="83" s="1"/>
  <c r="N18" i="83" s="1"/>
  <c r="D18" i="83"/>
  <c r="Z16" i="83"/>
  <c r="P16" i="83"/>
  <c r="X16" i="83" s="1"/>
  <c r="N16" i="83"/>
  <c r="L16" i="83"/>
  <c r="D16" i="83"/>
  <c r="B16" i="83"/>
  <c r="P15" i="83"/>
  <c r="X15" i="83" s="1"/>
  <c r="Z15" i="83" s="1"/>
  <c r="D15" i="83"/>
  <c r="L15" i="83" s="1"/>
  <c r="N15" i="83" s="1"/>
  <c r="B15" i="83"/>
  <c r="Z14" i="83"/>
  <c r="P14" i="83"/>
  <c r="X14" i="83" s="1"/>
  <c r="N14" i="83"/>
  <c r="L14" i="83"/>
  <c r="D14" i="83"/>
  <c r="B14" i="83"/>
  <c r="X13" i="83"/>
  <c r="Z13" i="83" s="1"/>
  <c r="P13" i="83"/>
  <c r="D13" i="83"/>
  <c r="L13" i="83" s="1"/>
  <c r="N13" i="83" s="1"/>
  <c r="B13" i="83"/>
  <c r="T12" i="83"/>
  <c r="V67" i="83" s="1"/>
  <c r="H12" i="83"/>
  <c r="J37" i="83" s="1"/>
  <c r="D6" i="83"/>
  <c r="D4" i="83"/>
  <c r="R33" i="82"/>
  <c r="V30" i="82"/>
  <c r="R30" i="82"/>
  <c r="F30" i="82"/>
  <c r="Z28" i="82"/>
  <c r="X28" i="82"/>
  <c r="N28" i="82"/>
  <c r="L28" i="82"/>
  <c r="R26" i="82"/>
  <c r="J26" i="82"/>
  <c r="Z24" i="82"/>
  <c r="V24" i="82"/>
  <c r="T24" i="82"/>
  <c r="X24" i="82" s="1"/>
  <c r="R24" i="82"/>
  <c r="P24" i="82"/>
  <c r="H24" i="82"/>
  <c r="N24" i="82" s="1"/>
  <c r="F24" i="82"/>
  <c r="D24" i="82"/>
  <c r="L24" i="82" s="1"/>
  <c r="Z22" i="82"/>
  <c r="X22" i="82"/>
  <c r="N22" i="82"/>
  <c r="L22" i="82"/>
  <c r="B22" i="82"/>
  <c r="T21" i="82"/>
  <c r="Z21" i="82" s="1"/>
  <c r="P21" i="82"/>
  <c r="X21" i="82" s="1"/>
  <c r="N21" i="82"/>
  <c r="L21" i="82"/>
  <c r="H21" i="82"/>
  <c r="D21" i="82"/>
  <c r="B21" i="82"/>
  <c r="Z20" i="82"/>
  <c r="X20" i="82"/>
  <c r="V20" i="82"/>
  <c r="N20" i="82"/>
  <c r="L20" i="82"/>
  <c r="B20" i="82"/>
  <c r="Z19" i="82"/>
  <c r="X19" i="82"/>
  <c r="T19" i="82"/>
  <c r="P19" i="82"/>
  <c r="H19" i="82"/>
  <c r="D19" i="82"/>
  <c r="B19" i="82"/>
  <c r="Z18" i="82"/>
  <c r="V18" i="82"/>
  <c r="T18" i="82"/>
  <c r="R18" i="82"/>
  <c r="P18" i="82"/>
  <c r="X18" i="82" s="1"/>
  <c r="H18" i="82"/>
  <c r="N18" i="82" s="1"/>
  <c r="F18" i="82"/>
  <c r="D18" i="82"/>
  <c r="L18" i="82" s="1"/>
  <c r="R16" i="82"/>
  <c r="J16" i="82"/>
  <c r="Z14" i="82"/>
  <c r="V14" i="82"/>
  <c r="T14" i="82"/>
  <c r="R14" i="82"/>
  <c r="P14" i="82"/>
  <c r="X14" i="82" s="1"/>
  <c r="H14" i="82"/>
  <c r="N14" i="82" s="1"/>
  <c r="F14" i="82"/>
  <c r="D14" i="82"/>
  <c r="L14" i="82" s="1"/>
  <c r="Z12" i="82"/>
  <c r="T12" i="82"/>
  <c r="V19" i="82" s="1"/>
  <c r="P12" i="82"/>
  <c r="R20" i="82" s="1"/>
  <c r="H12" i="82"/>
  <c r="J33" i="82" s="1"/>
  <c r="D12" i="82"/>
  <c r="F19" i="82" s="1"/>
  <c r="D6" i="82"/>
  <c r="D4" i="82"/>
  <c r="V35" i="81"/>
  <c r="R35" i="81"/>
  <c r="V32" i="81"/>
  <c r="F32" i="81"/>
  <c r="Z30" i="81"/>
  <c r="X30" i="81"/>
  <c r="V30" i="81"/>
  <c r="N30" i="81"/>
  <c r="L30" i="81"/>
  <c r="V28" i="81"/>
  <c r="R28" i="81"/>
  <c r="Z26" i="81"/>
  <c r="X26" i="81"/>
  <c r="V26" i="81"/>
  <c r="T26" i="81"/>
  <c r="P26" i="81"/>
  <c r="N26" i="81"/>
  <c r="H26" i="81"/>
  <c r="F26" i="81"/>
  <c r="D26" i="81"/>
  <c r="L26" i="81" s="1"/>
  <c r="Z24" i="81"/>
  <c r="X24" i="81"/>
  <c r="V24" i="81"/>
  <c r="N24" i="81"/>
  <c r="L24" i="81"/>
  <c r="B24" i="81"/>
  <c r="T23" i="81"/>
  <c r="Z23" i="81" s="1"/>
  <c r="P23" i="81"/>
  <c r="X23" i="81" s="1"/>
  <c r="H23" i="81"/>
  <c r="N23" i="81" s="1"/>
  <c r="D23" i="81"/>
  <c r="L23" i="81" s="1"/>
  <c r="B23" i="81"/>
  <c r="Z22" i="81"/>
  <c r="X22" i="81"/>
  <c r="N22" i="81"/>
  <c r="L22" i="81"/>
  <c r="J22" i="81"/>
  <c r="B22" i="81"/>
  <c r="T21" i="81"/>
  <c r="Z21" i="81" s="1"/>
  <c r="P21" i="81"/>
  <c r="X21" i="81" s="1"/>
  <c r="N21" i="81"/>
  <c r="L21" i="81"/>
  <c r="H21" i="81"/>
  <c r="D21" i="81"/>
  <c r="B21" i="81"/>
  <c r="Z20" i="81"/>
  <c r="X20" i="81"/>
  <c r="V20" i="81"/>
  <c r="N20" i="81"/>
  <c r="L20" i="81"/>
  <c r="B20" i="81"/>
  <c r="X19" i="81"/>
  <c r="Z19" i="81" s="1"/>
  <c r="T19" i="81"/>
  <c r="P19" i="81"/>
  <c r="L19" i="81"/>
  <c r="H19" i="81"/>
  <c r="D19" i="81"/>
  <c r="B19" i="81"/>
  <c r="V18" i="81"/>
  <c r="T18" i="81"/>
  <c r="R18" i="81"/>
  <c r="P18" i="81"/>
  <c r="X18" i="81" s="1"/>
  <c r="Z18" i="81" s="1"/>
  <c r="H18" i="81"/>
  <c r="N18" i="81" s="1"/>
  <c r="F18" i="81"/>
  <c r="D18" i="81"/>
  <c r="L18" i="81" s="1"/>
  <c r="R16" i="81"/>
  <c r="P16" i="81"/>
  <c r="Z14" i="81"/>
  <c r="V14" i="81"/>
  <c r="T14" i="81"/>
  <c r="X14" i="81" s="1"/>
  <c r="R14" i="81"/>
  <c r="P14" i="81"/>
  <c r="H14" i="81"/>
  <c r="N14" i="81" s="1"/>
  <c r="F14" i="81"/>
  <c r="D14" i="81"/>
  <c r="L14" i="81" s="1"/>
  <c r="Z12" i="81"/>
  <c r="T12" i="81"/>
  <c r="V19" i="81" s="1"/>
  <c r="P12" i="81"/>
  <c r="R20" i="81" s="1"/>
  <c r="H12" i="81"/>
  <c r="D12" i="81"/>
  <c r="F30" i="81" s="1"/>
  <c r="D6" i="81"/>
  <c r="D4" i="81"/>
  <c r="R37" i="80"/>
  <c r="J34" i="80"/>
  <c r="F34" i="80"/>
  <c r="Z32" i="80"/>
  <c r="X32" i="80"/>
  <c r="N32" i="80"/>
  <c r="L32" i="80"/>
  <c r="J32" i="80"/>
  <c r="R30" i="80"/>
  <c r="Z28" i="80"/>
  <c r="X28" i="80"/>
  <c r="V28" i="80"/>
  <c r="T28" i="80"/>
  <c r="P28" i="80"/>
  <c r="N28" i="80"/>
  <c r="J28" i="80"/>
  <c r="H28" i="80"/>
  <c r="L28" i="80" s="1"/>
  <c r="F28" i="80"/>
  <c r="D28" i="80"/>
  <c r="Z26" i="80"/>
  <c r="X26" i="80"/>
  <c r="N26" i="80"/>
  <c r="L26" i="80"/>
  <c r="J26" i="80"/>
  <c r="B26" i="80"/>
  <c r="T25" i="80"/>
  <c r="Z25" i="80" s="1"/>
  <c r="R25" i="80"/>
  <c r="P25" i="80"/>
  <c r="X25" i="80" s="1"/>
  <c r="H25" i="80"/>
  <c r="N25" i="80" s="1"/>
  <c r="D25" i="80"/>
  <c r="L25" i="80" s="1"/>
  <c r="B25" i="80"/>
  <c r="Z24" i="80"/>
  <c r="X24" i="80"/>
  <c r="N24" i="80"/>
  <c r="L24" i="80"/>
  <c r="J24" i="80"/>
  <c r="B24" i="80"/>
  <c r="T23" i="80"/>
  <c r="Z23" i="80" s="1"/>
  <c r="P23" i="80"/>
  <c r="X23" i="80" s="1"/>
  <c r="N23" i="80"/>
  <c r="L23" i="80"/>
  <c r="H23" i="80"/>
  <c r="D23" i="80"/>
  <c r="B23" i="80"/>
  <c r="Z22" i="80"/>
  <c r="X22" i="80"/>
  <c r="N22" i="80"/>
  <c r="L22" i="80"/>
  <c r="B22" i="80"/>
  <c r="Z21" i="80"/>
  <c r="X21" i="80"/>
  <c r="T21" i="80"/>
  <c r="P21" i="80"/>
  <c r="H21" i="80"/>
  <c r="N21" i="80" s="1"/>
  <c r="D21" i="80"/>
  <c r="B21" i="80"/>
  <c r="Z20" i="80"/>
  <c r="X20" i="80"/>
  <c r="R20" i="80"/>
  <c r="N20" i="80"/>
  <c r="L20" i="80"/>
  <c r="B20" i="80"/>
  <c r="X19" i="80"/>
  <c r="T19" i="80"/>
  <c r="P19" i="80"/>
  <c r="H19" i="80"/>
  <c r="F19" i="80"/>
  <c r="D19" i="80"/>
  <c r="B19" i="80"/>
  <c r="T18" i="80"/>
  <c r="R18" i="80"/>
  <c r="P18" i="80"/>
  <c r="X18" i="80" s="1"/>
  <c r="Z18" i="80" s="1"/>
  <c r="N18" i="80"/>
  <c r="H18" i="80"/>
  <c r="F18" i="80"/>
  <c r="D18" i="80"/>
  <c r="L18" i="80" s="1"/>
  <c r="V16" i="80"/>
  <c r="R16" i="80"/>
  <c r="J16" i="80"/>
  <c r="F16" i="80"/>
  <c r="T14" i="80"/>
  <c r="Z14" i="80" s="1"/>
  <c r="R14" i="80"/>
  <c r="P14" i="80"/>
  <c r="P16" i="80" s="1"/>
  <c r="N14" i="80"/>
  <c r="H14" i="80"/>
  <c r="F14" i="80"/>
  <c r="D14" i="80"/>
  <c r="L14" i="80" s="1"/>
  <c r="Z12" i="80"/>
  <c r="T12" i="80"/>
  <c r="V22" i="80" s="1"/>
  <c r="P12" i="80"/>
  <c r="R22" i="80" s="1"/>
  <c r="H12" i="80"/>
  <c r="J23" i="80" s="1"/>
  <c r="D12" i="80"/>
  <c r="F32" i="80" s="1"/>
  <c r="D6" i="80"/>
  <c r="D4" i="80"/>
  <c r="J80" i="79"/>
  <c r="V77" i="79"/>
  <c r="R77" i="79"/>
  <c r="Z75" i="79"/>
  <c r="X75" i="79"/>
  <c r="N75" i="79"/>
  <c r="L75" i="79"/>
  <c r="J75" i="79"/>
  <c r="J73" i="79"/>
  <c r="Z71" i="79"/>
  <c r="V71" i="79"/>
  <c r="P71" i="79"/>
  <c r="N71" i="79"/>
  <c r="D71" i="79"/>
  <c r="L71" i="79" s="1"/>
  <c r="B71" i="79"/>
  <c r="Z70" i="79"/>
  <c r="T70" i="79"/>
  <c r="L70" i="79"/>
  <c r="H70" i="79"/>
  <c r="N70" i="79" s="1"/>
  <c r="D70" i="79"/>
  <c r="X68" i="79"/>
  <c r="Z68" i="79" s="1"/>
  <c r="R68" i="79"/>
  <c r="L68" i="79"/>
  <c r="N68" i="79" s="1"/>
  <c r="B68" i="79"/>
  <c r="V67" i="79"/>
  <c r="T67" i="79"/>
  <c r="R67" i="79"/>
  <c r="P67" i="79"/>
  <c r="H67" i="79"/>
  <c r="D67" i="79"/>
  <c r="L67" i="79" s="1"/>
  <c r="N67" i="79" s="1"/>
  <c r="B67" i="79"/>
  <c r="Z66" i="79"/>
  <c r="X66" i="79"/>
  <c r="N66" i="79"/>
  <c r="L66" i="79"/>
  <c r="B66" i="79"/>
  <c r="Z65" i="79"/>
  <c r="T65" i="79"/>
  <c r="R65" i="79"/>
  <c r="P65" i="79"/>
  <c r="X65" i="79" s="1"/>
  <c r="N65" i="79"/>
  <c r="H65" i="79"/>
  <c r="D65" i="79"/>
  <c r="L65" i="79" s="1"/>
  <c r="B65" i="79"/>
  <c r="Z64" i="79"/>
  <c r="X64" i="79"/>
  <c r="N64" i="79"/>
  <c r="L64" i="79"/>
  <c r="B64" i="79"/>
  <c r="Z63" i="79"/>
  <c r="T63" i="79"/>
  <c r="P63" i="79"/>
  <c r="X63" i="79" s="1"/>
  <c r="N63" i="79"/>
  <c r="L63" i="79"/>
  <c r="J63" i="79"/>
  <c r="H63" i="79"/>
  <c r="D63" i="79"/>
  <c r="B63" i="79"/>
  <c r="Z62" i="79"/>
  <c r="X62" i="79"/>
  <c r="R62" i="79"/>
  <c r="N62" i="79"/>
  <c r="L62" i="79"/>
  <c r="B62" i="79"/>
  <c r="Z61" i="79"/>
  <c r="X61" i="79"/>
  <c r="V61" i="79"/>
  <c r="T61" i="79"/>
  <c r="P61" i="79"/>
  <c r="J61" i="79"/>
  <c r="H61" i="79"/>
  <c r="N61" i="79" s="1"/>
  <c r="D61" i="79"/>
  <c r="L61" i="79" s="1"/>
  <c r="B61" i="79"/>
  <c r="Z60" i="79"/>
  <c r="X60" i="79"/>
  <c r="R60" i="79"/>
  <c r="N60" i="79"/>
  <c r="L60" i="79"/>
  <c r="B60" i="79"/>
  <c r="Z59" i="79"/>
  <c r="X59" i="79"/>
  <c r="V59" i="79"/>
  <c r="N59" i="79"/>
  <c r="L59" i="79"/>
  <c r="B59" i="79"/>
  <c r="X58" i="79"/>
  <c r="Z58" i="79" s="1"/>
  <c r="R58" i="79"/>
  <c r="N58" i="79"/>
  <c r="L58" i="79"/>
  <c r="B58" i="79"/>
  <c r="Z57" i="79"/>
  <c r="X57" i="79"/>
  <c r="V57" i="79"/>
  <c r="T57" i="79"/>
  <c r="P57" i="79"/>
  <c r="J57" i="79"/>
  <c r="H57" i="79"/>
  <c r="N57" i="79" s="1"/>
  <c r="D57" i="79"/>
  <c r="L57" i="79" s="1"/>
  <c r="B57" i="79"/>
  <c r="Z56" i="79"/>
  <c r="X56" i="79"/>
  <c r="R56" i="79"/>
  <c r="N56" i="79"/>
  <c r="L56" i="79"/>
  <c r="B56" i="79"/>
  <c r="Z55" i="79"/>
  <c r="X55" i="79"/>
  <c r="V55" i="79"/>
  <c r="N55" i="79"/>
  <c r="L55" i="79"/>
  <c r="B55" i="79"/>
  <c r="Z54" i="79"/>
  <c r="X54" i="79"/>
  <c r="R54" i="79"/>
  <c r="N54" i="79"/>
  <c r="L54" i="79"/>
  <c r="B54" i="79"/>
  <c r="Z53" i="79"/>
  <c r="X53" i="79"/>
  <c r="V53" i="79"/>
  <c r="T53" i="79"/>
  <c r="P53" i="79"/>
  <c r="J53" i="79"/>
  <c r="H53" i="79"/>
  <c r="N53" i="79" s="1"/>
  <c r="D53" i="79"/>
  <c r="L53" i="79" s="1"/>
  <c r="B53" i="79"/>
  <c r="Z52" i="79"/>
  <c r="X52" i="79"/>
  <c r="R52" i="79"/>
  <c r="L52" i="79"/>
  <c r="N52" i="79" s="1"/>
  <c r="B52" i="79"/>
  <c r="V51" i="79"/>
  <c r="T51" i="79"/>
  <c r="Z51" i="79" s="1"/>
  <c r="R51" i="79"/>
  <c r="P51" i="79"/>
  <c r="X51" i="79" s="1"/>
  <c r="H51" i="79"/>
  <c r="N51" i="79" s="1"/>
  <c r="D51" i="79"/>
  <c r="L51" i="79" s="1"/>
  <c r="B51" i="79"/>
  <c r="Z50" i="79"/>
  <c r="X50" i="79"/>
  <c r="N50" i="79"/>
  <c r="L50" i="79"/>
  <c r="B50" i="79"/>
  <c r="T49" i="79"/>
  <c r="R49" i="79"/>
  <c r="P49" i="79"/>
  <c r="X49" i="79" s="1"/>
  <c r="N49" i="79"/>
  <c r="L49" i="79"/>
  <c r="H49" i="79"/>
  <c r="D49" i="79"/>
  <c r="B49" i="79"/>
  <c r="X48" i="79"/>
  <c r="Z48" i="79" s="1"/>
  <c r="N48" i="79"/>
  <c r="L48" i="79"/>
  <c r="B48" i="79"/>
  <c r="Z47" i="79"/>
  <c r="X47" i="79"/>
  <c r="T47" i="79"/>
  <c r="P47" i="79"/>
  <c r="N47" i="79"/>
  <c r="L47" i="79"/>
  <c r="J47" i="79"/>
  <c r="H47" i="79"/>
  <c r="D47" i="79"/>
  <c r="B47" i="79"/>
  <c r="Z46" i="79"/>
  <c r="X46" i="79"/>
  <c r="R46" i="79"/>
  <c r="N46" i="79"/>
  <c r="L46" i="79"/>
  <c r="B46" i="79"/>
  <c r="Z45" i="79"/>
  <c r="X45" i="79"/>
  <c r="V45" i="79"/>
  <c r="T45" i="79"/>
  <c r="P45" i="79"/>
  <c r="J45" i="79"/>
  <c r="H45" i="79"/>
  <c r="N45" i="79" s="1"/>
  <c r="D45" i="79"/>
  <c r="L45" i="79" s="1"/>
  <c r="B45" i="79"/>
  <c r="Z44" i="79"/>
  <c r="X44" i="79"/>
  <c r="R44" i="79"/>
  <c r="L44" i="79"/>
  <c r="N44" i="79" s="1"/>
  <c r="B44" i="79"/>
  <c r="Z43" i="79"/>
  <c r="X43" i="79"/>
  <c r="V43" i="79"/>
  <c r="N43" i="79"/>
  <c r="L43" i="79"/>
  <c r="B43" i="79"/>
  <c r="X42" i="79"/>
  <c r="T42" i="79"/>
  <c r="P42" i="79"/>
  <c r="H42" i="79"/>
  <c r="D42" i="79"/>
  <c r="L42" i="79" s="1"/>
  <c r="B42" i="79"/>
  <c r="X41" i="79"/>
  <c r="Z41" i="79" s="1"/>
  <c r="N41" i="79"/>
  <c r="L41" i="79"/>
  <c r="J41" i="79"/>
  <c r="B41" i="79"/>
  <c r="T40" i="79"/>
  <c r="P40" i="79"/>
  <c r="X40" i="79" s="1"/>
  <c r="H40" i="79"/>
  <c r="D40" i="79"/>
  <c r="L40" i="79" s="1"/>
  <c r="N40" i="79" s="1"/>
  <c r="B40" i="79"/>
  <c r="Z39" i="79"/>
  <c r="X39" i="79"/>
  <c r="N39" i="79"/>
  <c r="L39" i="79"/>
  <c r="J39" i="79"/>
  <c r="B39" i="79"/>
  <c r="Z38" i="79"/>
  <c r="X38" i="79"/>
  <c r="N38" i="79"/>
  <c r="L38" i="79"/>
  <c r="B38" i="79"/>
  <c r="Z37" i="79"/>
  <c r="X37" i="79"/>
  <c r="N37" i="79"/>
  <c r="L37" i="79"/>
  <c r="J37" i="79"/>
  <c r="B37" i="79"/>
  <c r="Z36" i="79"/>
  <c r="X36" i="79"/>
  <c r="R36" i="79"/>
  <c r="N36" i="79"/>
  <c r="L36" i="79"/>
  <c r="B36" i="79"/>
  <c r="Z35" i="79"/>
  <c r="X35" i="79"/>
  <c r="V35" i="79"/>
  <c r="N35" i="79"/>
  <c r="L35" i="79"/>
  <c r="B35" i="79"/>
  <c r="Z34" i="79"/>
  <c r="X34" i="79"/>
  <c r="R34" i="79"/>
  <c r="N34" i="79"/>
  <c r="L34" i="79"/>
  <c r="B34" i="79"/>
  <c r="Z33" i="79"/>
  <c r="X33" i="79"/>
  <c r="V33" i="79"/>
  <c r="N33" i="79"/>
  <c r="L33" i="79"/>
  <c r="B33" i="79"/>
  <c r="Z32" i="79"/>
  <c r="X32" i="79"/>
  <c r="N32" i="79"/>
  <c r="L32" i="79"/>
  <c r="B32" i="79"/>
  <c r="Z31" i="79"/>
  <c r="X31" i="79"/>
  <c r="L31" i="79"/>
  <c r="N31" i="79" s="1"/>
  <c r="J31" i="79"/>
  <c r="B31" i="79"/>
  <c r="Z30" i="79"/>
  <c r="X30" i="79"/>
  <c r="L30" i="79"/>
  <c r="N30" i="79" s="1"/>
  <c r="F30" i="79"/>
  <c r="B30" i="79"/>
  <c r="T29" i="79"/>
  <c r="Z29" i="79" s="1"/>
  <c r="R29" i="79"/>
  <c r="P29" i="79"/>
  <c r="X29" i="79" s="1"/>
  <c r="N29" i="79"/>
  <c r="L29" i="79"/>
  <c r="H29" i="79"/>
  <c r="D29" i="79"/>
  <c r="B29" i="79"/>
  <c r="X28" i="79"/>
  <c r="Z28" i="79" s="1"/>
  <c r="N28" i="79"/>
  <c r="L28" i="79"/>
  <c r="B28" i="79"/>
  <c r="Z27" i="79"/>
  <c r="X27" i="79"/>
  <c r="L27" i="79"/>
  <c r="N27" i="79" s="1"/>
  <c r="J27" i="79"/>
  <c r="B27" i="79"/>
  <c r="Z26" i="79"/>
  <c r="X26" i="79"/>
  <c r="L26" i="79"/>
  <c r="N26" i="79" s="1"/>
  <c r="B26" i="79"/>
  <c r="Z25" i="79"/>
  <c r="X25" i="79"/>
  <c r="N25" i="79"/>
  <c r="L25" i="79"/>
  <c r="J25" i="79"/>
  <c r="B25" i="79"/>
  <c r="X24" i="79"/>
  <c r="Z24" i="79" s="1"/>
  <c r="R24" i="79"/>
  <c r="L24" i="79"/>
  <c r="N24" i="79" s="1"/>
  <c r="B24" i="79"/>
  <c r="X23" i="79"/>
  <c r="Z23" i="79" s="1"/>
  <c r="V23" i="79"/>
  <c r="N23" i="79"/>
  <c r="L23" i="79"/>
  <c r="B23" i="79"/>
  <c r="X22" i="79"/>
  <c r="Z22" i="79" s="1"/>
  <c r="R22" i="79"/>
  <c r="N22" i="79"/>
  <c r="L22" i="79"/>
  <c r="B22" i="79"/>
  <c r="Z21" i="79"/>
  <c r="X21" i="79"/>
  <c r="V21" i="79"/>
  <c r="N21" i="79"/>
  <c r="L21" i="79"/>
  <c r="B21" i="79"/>
  <c r="X20" i="79"/>
  <c r="Z20" i="79" s="1"/>
  <c r="L20" i="79"/>
  <c r="N20" i="79" s="1"/>
  <c r="B20" i="79"/>
  <c r="T19" i="79"/>
  <c r="P19" i="79"/>
  <c r="X19" i="79" s="1"/>
  <c r="Z19" i="79" s="1"/>
  <c r="N19" i="79"/>
  <c r="J19" i="79"/>
  <c r="H19" i="79"/>
  <c r="D19" i="79"/>
  <c r="L19" i="79" s="1"/>
  <c r="B19" i="79"/>
  <c r="T18" i="79"/>
  <c r="P18" i="79"/>
  <c r="H18" i="79"/>
  <c r="D18" i="79"/>
  <c r="P16" i="79"/>
  <c r="T14" i="79"/>
  <c r="Z14" i="79" s="1"/>
  <c r="P14" i="79"/>
  <c r="J14" i="79"/>
  <c r="H14" i="79"/>
  <c r="D14" i="79"/>
  <c r="X12" i="79"/>
  <c r="T12" i="79"/>
  <c r="V70" i="79" s="1"/>
  <c r="P12" i="79"/>
  <c r="R42" i="79" s="1"/>
  <c r="N12" i="79"/>
  <c r="H12" i="79"/>
  <c r="J68" i="79" s="1"/>
  <c r="D12" i="79"/>
  <c r="F53" i="79" s="1"/>
  <c r="D6" i="79"/>
  <c r="D4" i="79"/>
  <c r="Z28" i="78"/>
  <c r="X28" i="78"/>
  <c r="N28" i="78"/>
  <c r="L28" i="78"/>
  <c r="D26" i="78"/>
  <c r="X24" i="78"/>
  <c r="T24" i="78"/>
  <c r="Z24" i="78" s="1"/>
  <c r="P24" i="78"/>
  <c r="H24" i="78"/>
  <c r="N24" i="78" s="1"/>
  <c r="D24" i="78"/>
  <c r="Z22" i="78"/>
  <c r="X22" i="78"/>
  <c r="N22" i="78"/>
  <c r="L22" i="78"/>
  <c r="B22" i="78"/>
  <c r="V21" i="78"/>
  <c r="T21" i="78"/>
  <c r="Z21" i="78" s="1"/>
  <c r="P21" i="78"/>
  <c r="X21" i="78" s="1"/>
  <c r="N21" i="78"/>
  <c r="L21" i="78"/>
  <c r="H21" i="78"/>
  <c r="F21" i="78"/>
  <c r="D21" i="78"/>
  <c r="B21" i="78"/>
  <c r="Z20" i="78"/>
  <c r="X20" i="78"/>
  <c r="V20" i="78"/>
  <c r="N20" i="78"/>
  <c r="L20" i="78"/>
  <c r="F20" i="78"/>
  <c r="B20" i="78"/>
  <c r="Z19" i="78"/>
  <c r="X19" i="78"/>
  <c r="T19" i="78"/>
  <c r="P19" i="78"/>
  <c r="J19" i="78"/>
  <c r="H19" i="78"/>
  <c r="N19" i="78" s="1"/>
  <c r="D19" i="78"/>
  <c r="L19" i="78" s="1"/>
  <c r="B19" i="78"/>
  <c r="X18" i="78"/>
  <c r="T18" i="78"/>
  <c r="Z18" i="78" s="1"/>
  <c r="P18" i="78"/>
  <c r="H18" i="78"/>
  <c r="N18" i="78" s="1"/>
  <c r="D18" i="78"/>
  <c r="T16" i="78"/>
  <c r="Z16" i="78" s="1"/>
  <c r="J16" i="78"/>
  <c r="D16" i="78"/>
  <c r="X14" i="78"/>
  <c r="T14" i="78"/>
  <c r="Z14" i="78" s="1"/>
  <c r="P14" i="78"/>
  <c r="L14" i="78"/>
  <c r="J14" i="78"/>
  <c r="H14" i="78"/>
  <c r="D14" i="78"/>
  <c r="Z12" i="78"/>
  <c r="T12" i="78"/>
  <c r="V30" i="78" s="1"/>
  <c r="P12" i="78"/>
  <c r="N12" i="78"/>
  <c r="L12" i="78"/>
  <c r="H12" i="78"/>
  <c r="J28" i="78" s="1"/>
  <c r="D12" i="78"/>
  <c r="F30" i="78" s="1"/>
  <c r="D6" i="78"/>
  <c r="D4" i="78"/>
  <c r="X92" i="77"/>
  <c r="Z92" i="77" s="1"/>
  <c r="L92" i="77"/>
  <c r="N92" i="77" s="1"/>
  <c r="T88" i="77"/>
  <c r="Z88" i="77" s="1"/>
  <c r="P88" i="77"/>
  <c r="X88" i="77" s="1"/>
  <c r="L88" i="77"/>
  <c r="H88" i="77"/>
  <c r="N88" i="77" s="1"/>
  <c r="D88" i="77"/>
  <c r="X86" i="77"/>
  <c r="Z86" i="77" s="1"/>
  <c r="L86" i="77"/>
  <c r="N86" i="77" s="1"/>
  <c r="B86" i="77"/>
  <c r="T85" i="77"/>
  <c r="P85" i="77"/>
  <c r="X85" i="77" s="1"/>
  <c r="Z85" i="77" s="1"/>
  <c r="H85" i="77"/>
  <c r="D85" i="77"/>
  <c r="L85" i="77" s="1"/>
  <c r="N85" i="77" s="1"/>
  <c r="B85" i="77"/>
  <c r="Z84" i="77"/>
  <c r="X84" i="77"/>
  <c r="L84" i="77"/>
  <c r="N84" i="77" s="1"/>
  <c r="B84" i="77"/>
  <c r="T83" i="77"/>
  <c r="P83" i="77"/>
  <c r="X83" i="77" s="1"/>
  <c r="Z83" i="77" s="1"/>
  <c r="L83" i="77"/>
  <c r="N83" i="77" s="1"/>
  <c r="H83" i="77"/>
  <c r="D83" i="77"/>
  <c r="B83" i="77"/>
  <c r="X82" i="77"/>
  <c r="Z82" i="77" s="1"/>
  <c r="L82" i="77"/>
  <c r="N82" i="77" s="1"/>
  <c r="B82" i="77"/>
  <c r="X81" i="77"/>
  <c r="Z81" i="77" s="1"/>
  <c r="T81" i="77"/>
  <c r="P81" i="77"/>
  <c r="H81" i="77"/>
  <c r="L81" i="77" s="1"/>
  <c r="D81" i="77"/>
  <c r="B81" i="77"/>
  <c r="X80" i="77"/>
  <c r="Z80" i="77" s="1"/>
  <c r="N80" i="77"/>
  <c r="L80" i="77"/>
  <c r="B80" i="77"/>
  <c r="Z79" i="77"/>
  <c r="X79" i="77"/>
  <c r="N79" i="77"/>
  <c r="L79" i="77"/>
  <c r="B79" i="77"/>
  <c r="X78" i="77"/>
  <c r="Z78" i="77" s="1"/>
  <c r="L78" i="77"/>
  <c r="N78" i="77" s="1"/>
  <c r="B78" i="77"/>
  <c r="X77" i="77"/>
  <c r="Z77" i="77" s="1"/>
  <c r="N77" i="77"/>
  <c r="L77" i="77"/>
  <c r="B77" i="77"/>
  <c r="Z76" i="77"/>
  <c r="X76" i="77"/>
  <c r="N76" i="77"/>
  <c r="L76" i="77"/>
  <c r="B76" i="77"/>
  <c r="Z75" i="77"/>
  <c r="X75" i="77"/>
  <c r="N75" i="77"/>
  <c r="L75" i="77"/>
  <c r="B75" i="77"/>
  <c r="X74" i="77"/>
  <c r="Z74" i="77" s="1"/>
  <c r="L74" i="77"/>
  <c r="N74" i="77" s="1"/>
  <c r="B74" i="77"/>
  <c r="Z73" i="77"/>
  <c r="X73" i="77"/>
  <c r="L73" i="77"/>
  <c r="N73" i="77" s="1"/>
  <c r="B73" i="77"/>
  <c r="X72" i="77"/>
  <c r="T72" i="77"/>
  <c r="Z72" i="77" s="1"/>
  <c r="P72" i="77"/>
  <c r="L72" i="77"/>
  <c r="H72" i="77"/>
  <c r="D72" i="77"/>
  <c r="B72" i="77"/>
  <c r="Z71" i="77"/>
  <c r="X71" i="77"/>
  <c r="V71" i="77"/>
  <c r="N71" i="77"/>
  <c r="L71" i="77"/>
  <c r="B71" i="77"/>
  <c r="T70" i="77"/>
  <c r="P70" i="77"/>
  <c r="H70" i="77"/>
  <c r="D70" i="77"/>
  <c r="L70" i="77" s="1"/>
  <c r="N70" i="77" s="1"/>
  <c r="B70" i="77"/>
  <c r="X69" i="77"/>
  <c r="Z69" i="77" s="1"/>
  <c r="N69" i="77"/>
  <c r="L69" i="77"/>
  <c r="B69" i="77"/>
  <c r="Z68" i="77"/>
  <c r="X68" i="77"/>
  <c r="L68" i="77"/>
  <c r="N68" i="77" s="1"/>
  <c r="B68" i="77"/>
  <c r="Z67" i="77"/>
  <c r="X67" i="77"/>
  <c r="V67" i="77"/>
  <c r="N67" i="77"/>
  <c r="L67" i="77"/>
  <c r="B67" i="77"/>
  <c r="X66" i="77"/>
  <c r="Z66" i="77" s="1"/>
  <c r="L66" i="77"/>
  <c r="N66" i="77" s="1"/>
  <c r="J66" i="77"/>
  <c r="B66" i="77"/>
  <c r="Z65" i="77"/>
  <c r="T65" i="77"/>
  <c r="P65" i="77"/>
  <c r="X65" i="77" s="1"/>
  <c r="H65" i="77"/>
  <c r="D65" i="77"/>
  <c r="L65" i="77" s="1"/>
  <c r="N65" i="77" s="1"/>
  <c r="B65" i="77"/>
  <c r="Z64" i="77"/>
  <c r="X64" i="77"/>
  <c r="L64" i="77"/>
  <c r="N64" i="77" s="1"/>
  <c r="B64" i="77"/>
  <c r="Z63" i="77"/>
  <c r="X63" i="77"/>
  <c r="V63" i="77"/>
  <c r="N63" i="77"/>
  <c r="L63" i="77"/>
  <c r="B63" i="77"/>
  <c r="T62" i="77"/>
  <c r="P62" i="77"/>
  <c r="H62" i="77"/>
  <c r="D62" i="77"/>
  <c r="B62" i="77"/>
  <c r="X61" i="77"/>
  <c r="Z61" i="77" s="1"/>
  <c r="N61" i="77"/>
  <c r="L61" i="77"/>
  <c r="B61" i="77"/>
  <c r="T60" i="77"/>
  <c r="P60" i="77"/>
  <c r="H60" i="77"/>
  <c r="D60" i="77"/>
  <c r="L60" i="77" s="1"/>
  <c r="B60" i="77"/>
  <c r="Z59" i="77"/>
  <c r="X59" i="77"/>
  <c r="N59" i="77"/>
  <c r="L59" i="77"/>
  <c r="B59" i="77"/>
  <c r="T58" i="77"/>
  <c r="Z58" i="77" s="1"/>
  <c r="P58" i="77"/>
  <c r="X58" i="77" s="1"/>
  <c r="L58" i="77"/>
  <c r="H58" i="77"/>
  <c r="N58" i="77" s="1"/>
  <c r="D58" i="77"/>
  <c r="B58" i="77"/>
  <c r="Z57" i="77"/>
  <c r="X57" i="77"/>
  <c r="N57" i="77"/>
  <c r="L57" i="77"/>
  <c r="B57" i="77"/>
  <c r="X56" i="77"/>
  <c r="T56" i="77"/>
  <c r="Z56" i="77" s="1"/>
  <c r="P56" i="77"/>
  <c r="L56" i="77"/>
  <c r="H56" i="77"/>
  <c r="N56" i="77" s="1"/>
  <c r="D56" i="77"/>
  <c r="B56" i="77"/>
  <c r="Z55" i="77"/>
  <c r="X55" i="77"/>
  <c r="N55" i="77"/>
  <c r="L55" i="77"/>
  <c r="B55" i="77"/>
  <c r="Z54" i="77"/>
  <c r="X54" i="77"/>
  <c r="N54" i="77"/>
  <c r="L54" i="77"/>
  <c r="B54" i="77"/>
  <c r="T53" i="77"/>
  <c r="P53" i="77"/>
  <c r="X53" i="77" s="1"/>
  <c r="Z53" i="77" s="1"/>
  <c r="H53" i="77"/>
  <c r="L53" i="77" s="1"/>
  <c r="N53" i="77" s="1"/>
  <c r="D53" i="77"/>
  <c r="B53" i="77"/>
  <c r="Z52" i="77"/>
  <c r="X52" i="77"/>
  <c r="L52" i="77"/>
  <c r="N52" i="77" s="1"/>
  <c r="B52" i="77"/>
  <c r="T51" i="77"/>
  <c r="P51" i="77"/>
  <c r="X51" i="77" s="1"/>
  <c r="Z51" i="77" s="1"/>
  <c r="L51" i="77"/>
  <c r="N51" i="77" s="1"/>
  <c r="H51" i="77"/>
  <c r="D51" i="77"/>
  <c r="B51" i="77"/>
  <c r="Z50" i="77"/>
  <c r="X50" i="77"/>
  <c r="N50" i="77"/>
  <c r="L50" i="77"/>
  <c r="B50" i="77"/>
  <c r="Z49" i="77"/>
  <c r="X49" i="77"/>
  <c r="T49" i="77"/>
  <c r="P49" i="77"/>
  <c r="N49" i="77"/>
  <c r="H49" i="77"/>
  <c r="L49" i="77" s="1"/>
  <c r="D49" i="77"/>
  <c r="B49" i="77"/>
  <c r="Z48" i="77"/>
  <c r="X48" i="77"/>
  <c r="N48" i="77"/>
  <c r="L48" i="77"/>
  <c r="B48" i="77"/>
  <c r="Z47" i="77"/>
  <c r="T47" i="77"/>
  <c r="P47" i="77"/>
  <c r="N47" i="77"/>
  <c r="H47" i="77"/>
  <c r="D47" i="77"/>
  <c r="L47" i="77" s="1"/>
  <c r="B47" i="77"/>
  <c r="Z46" i="77"/>
  <c r="X46" i="77"/>
  <c r="N46" i="77"/>
  <c r="L46" i="77"/>
  <c r="B46" i="77"/>
  <c r="Z45" i="77"/>
  <c r="X45" i="77"/>
  <c r="N45" i="77"/>
  <c r="L45" i="77"/>
  <c r="B45" i="77"/>
  <c r="X44" i="77"/>
  <c r="Z44" i="77" s="1"/>
  <c r="N44" i="77"/>
  <c r="L44" i="77"/>
  <c r="B44" i="77"/>
  <c r="Z43" i="77"/>
  <c r="X43" i="77"/>
  <c r="N43" i="77"/>
  <c r="L43" i="77"/>
  <c r="B43" i="77"/>
  <c r="Z42" i="77"/>
  <c r="X42" i="77"/>
  <c r="V42" i="77"/>
  <c r="N42" i="77"/>
  <c r="L42" i="77"/>
  <c r="F42" i="77"/>
  <c r="B42" i="77"/>
  <c r="X41" i="77"/>
  <c r="Z41" i="77" s="1"/>
  <c r="N41" i="77"/>
  <c r="L41" i="77"/>
  <c r="J41" i="77"/>
  <c r="B41" i="77"/>
  <c r="Z40" i="77"/>
  <c r="X40" i="77"/>
  <c r="N40" i="77"/>
  <c r="L40" i="77"/>
  <c r="B40" i="77"/>
  <c r="Z39" i="77"/>
  <c r="X39" i="77"/>
  <c r="N39" i="77"/>
  <c r="L39" i="77"/>
  <c r="F39" i="77"/>
  <c r="B39" i="77"/>
  <c r="X38" i="77"/>
  <c r="Z38" i="77" s="1"/>
  <c r="L38" i="77"/>
  <c r="N38" i="77" s="1"/>
  <c r="B38" i="77"/>
  <c r="Z37" i="77"/>
  <c r="X37" i="77"/>
  <c r="N37" i="77"/>
  <c r="L37" i="77"/>
  <c r="B37" i="77"/>
  <c r="T36" i="77"/>
  <c r="P36" i="77"/>
  <c r="H36" i="77"/>
  <c r="D36" i="77"/>
  <c r="L36" i="77" s="1"/>
  <c r="B36" i="77"/>
  <c r="Z35" i="77"/>
  <c r="X35" i="77"/>
  <c r="N35" i="77"/>
  <c r="L35" i="77"/>
  <c r="B35" i="77"/>
  <c r="X34" i="77"/>
  <c r="Z34" i="77" s="1"/>
  <c r="V34" i="77"/>
  <c r="L34" i="77"/>
  <c r="N34" i="77" s="1"/>
  <c r="B34" i="77"/>
  <c r="X33" i="77"/>
  <c r="Z33" i="77" s="1"/>
  <c r="V33" i="77"/>
  <c r="N33" i="77"/>
  <c r="L33" i="77"/>
  <c r="B33" i="77"/>
  <c r="Z32" i="77"/>
  <c r="X32" i="77"/>
  <c r="N32" i="77"/>
  <c r="L32" i="77"/>
  <c r="J32" i="77"/>
  <c r="B32" i="77"/>
  <c r="Z31" i="77"/>
  <c r="X31" i="77"/>
  <c r="V31" i="77"/>
  <c r="L31" i="77"/>
  <c r="N31" i="77" s="1"/>
  <c r="B31" i="77"/>
  <c r="X30" i="77"/>
  <c r="Z30" i="77" s="1"/>
  <c r="N30" i="77"/>
  <c r="L30" i="77"/>
  <c r="B30" i="77"/>
  <c r="Z29" i="77"/>
  <c r="X29" i="77"/>
  <c r="L29" i="77"/>
  <c r="N29" i="77" s="1"/>
  <c r="J29" i="77"/>
  <c r="B29" i="77"/>
  <c r="Z28" i="77"/>
  <c r="X28" i="77"/>
  <c r="V28" i="77"/>
  <c r="L28" i="77"/>
  <c r="N28" i="77" s="1"/>
  <c r="F28" i="77"/>
  <c r="B28" i="77"/>
  <c r="X27" i="77"/>
  <c r="Z27" i="77" s="1"/>
  <c r="N27" i="77"/>
  <c r="L27" i="77"/>
  <c r="J27" i="77"/>
  <c r="B27" i="77"/>
  <c r="T26" i="77"/>
  <c r="P26" i="77"/>
  <c r="X26" i="77" s="1"/>
  <c r="J26" i="77"/>
  <c r="H26" i="77"/>
  <c r="D26" i="77"/>
  <c r="L26" i="77" s="1"/>
  <c r="N26" i="77" s="1"/>
  <c r="B26" i="77"/>
  <c r="T25" i="77"/>
  <c r="P25" i="77"/>
  <c r="X25" i="77" s="1"/>
  <c r="Z25" i="77" s="1"/>
  <c r="J25" i="77"/>
  <c r="H25" i="77"/>
  <c r="D25" i="77"/>
  <c r="L25" i="77" s="1"/>
  <c r="N25" i="77" s="1"/>
  <c r="Z21" i="77"/>
  <c r="X21" i="77"/>
  <c r="N21" i="77"/>
  <c r="L21" i="77"/>
  <c r="J21" i="77"/>
  <c r="B21" i="77"/>
  <c r="Z20" i="77"/>
  <c r="X20" i="77"/>
  <c r="V20" i="77"/>
  <c r="N20" i="77"/>
  <c r="L20" i="77"/>
  <c r="B20" i="77"/>
  <c r="X19" i="77"/>
  <c r="Z19" i="77" s="1"/>
  <c r="N19" i="77"/>
  <c r="L19" i="77"/>
  <c r="J19" i="77"/>
  <c r="B19" i="77"/>
  <c r="T18" i="77"/>
  <c r="P18" i="77"/>
  <c r="J18" i="77"/>
  <c r="H18" i="77"/>
  <c r="D18" i="77"/>
  <c r="L18" i="77" s="1"/>
  <c r="N18" i="77" s="1"/>
  <c r="Z16" i="77"/>
  <c r="X16" i="77"/>
  <c r="P16" i="77"/>
  <c r="N16" i="77"/>
  <c r="L16" i="77"/>
  <c r="D16" i="77"/>
  <c r="B16" i="77"/>
  <c r="P15" i="77"/>
  <c r="X15" i="77" s="1"/>
  <c r="Z15" i="77" s="1"/>
  <c r="D15" i="77"/>
  <c r="L15" i="77" s="1"/>
  <c r="N15" i="77" s="1"/>
  <c r="B15" i="77"/>
  <c r="Z14" i="77"/>
  <c r="X14" i="77"/>
  <c r="P14" i="77"/>
  <c r="N14" i="77"/>
  <c r="L14" i="77"/>
  <c r="D14" i="77"/>
  <c r="B14" i="77"/>
  <c r="P13" i="77"/>
  <c r="X13" i="77" s="1"/>
  <c r="Z13" i="77" s="1"/>
  <c r="L13" i="77"/>
  <c r="N13" i="77" s="1"/>
  <c r="D13" i="77"/>
  <c r="D12" i="77" s="1"/>
  <c r="B13" i="77"/>
  <c r="T12" i="77"/>
  <c r="V88" i="77" s="1"/>
  <c r="H12" i="77"/>
  <c r="J35" i="77" s="1"/>
  <c r="D6" i="77"/>
  <c r="D4" i="77"/>
  <c r="X32" i="76"/>
  <c r="Z32" i="76" s="1"/>
  <c r="N32" i="76"/>
  <c r="L32" i="76"/>
  <c r="J32" i="76"/>
  <c r="V28" i="76"/>
  <c r="T28" i="76"/>
  <c r="Z28" i="76" s="1"/>
  <c r="P28" i="76"/>
  <c r="X28" i="76" s="1"/>
  <c r="N28" i="76"/>
  <c r="L28" i="76"/>
  <c r="H28" i="76"/>
  <c r="D28" i="76"/>
  <c r="X26" i="76"/>
  <c r="Z26" i="76" s="1"/>
  <c r="N26" i="76"/>
  <c r="L26" i="76"/>
  <c r="J26" i="76"/>
  <c r="B26" i="76"/>
  <c r="V25" i="76"/>
  <c r="T25" i="76"/>
  <c r="P25" i="76"/>
  <c r="X25" i="76" s="1"/>
  <c r="Z25" i="76" s="1"/>
  <c r="N25" i="76"/>
  <c r="L25" i="76"/>
  <c r="J25" i="76"/>
  <c r="H25" i="76"/>
  <c r="D25" i="76"/>
  <c r="B25" i="76"/>
  <c r="T24" i="76"/>
  <c r="P24" i="76"/>
  <c r="J24" i="76"/>
  <c r="H24" i="76"/>
  <c r="D24" i="76"/>
  <c r="L24" i="76" s="1"/>
  <c r="H22" i="76"/>
  <c r="Z20" i="76"/>
  <c r="X20" i="76"/>
  <c r="V20" i="76"/>
  <c r="N20" i="76"/>
  <c r="L20" i="76"/>
  <c r="B20" i="76"/>
  <c r="Z19" i="76"/>
  <c r="X19" i="76"/>
  <c r="V19" i="76"/>
  <c r="N19" i="76"/>
  <c r="L19" i="76"/>
  <c r="B19" i="76"/>
  <c r="X18" i="76"/>
  <c r="Z18" i="76" s="1"/>
  <c r="N18" i="76"/>
  <c r="L18" i="76"/>
  <c r="J18" i="76"/>
  <c r="B18" i="76"/>
  <c r="V17" i="76"/>
  <c r="T17" i="76"/>
  <c r="P17" i="76"/>
  <c r="X17" i="76" s="1"/>
  <c r="Z17" i="76" s="1"/>
  <c r="N17" i="76"/>
  <c r="L17" i="76"/>
  <c r="J17" i="76"/>
  <c r="H17" i="76"/>
  <c r="D17" i="76"/>
  <c r="Z15" i="76"/>
  <c r="X15" i="76"/>
  <c r="P15" i="76"/>
  <c r="N15" i="76"/>
  <c r="L15" i="76"/>
  <c r="D15" i="76"/>
  <c r="B15" i="76"/>
  <c r="Z14" i="76"/>
  <c r="P14" i="76"/>
  <c r="X14" i="76" s="1"/>
  <c r="N14" i="76"/>
  <c r="D14" i="76"/>
  <c r="L14" i="76" s="1"/>
  <c r="B14" i="76"/>
  <c r="P13" i="76"/>
  <c r="X13" i="76" s="1"/>
  <c r="Z13" i="76" s="1"/>
  <c r="N13" i="76"/>
  <c r="L13" i="76"/>
  <c r="D13" i="76"/>
  <c r="B13" i="76"/>
  <c r="T12" i="76"/>
  <c r="H12" i="76"/>
  <c r="D12" i="76"/>
  <c r="D6" i="76"/>
  <c r="D4" i="76"/>
  <c r="T91" i="75"/>
  <c r="X89" i="75"/>
  <c r="Z89" i="75" s="1"/>
  <c r="L89" i="75"/>
  <c r="N89" i="75" s="1"/>
  <c r="X85" i="75"/>
  <c r="T85" i="75"/>
  <c r="Z85" i="75" s="1"/>
  <c r="P85" i="75"/>
  <c r="H85" i="75"/>
  <c r="N85" i="75" s="1"/>
  <c r="D85" i="75"/>
  <c r="L85" i="75" s="1"/>
  <c r="X83" i="75"/>
  <c r="Z83" i="75" s="1"/>
  <c r="L83" i="75"/>
  <c r="N83" i="75" s="1"/>
  <c r="B83" i="75"/>
  <c r="X82" i="75"/>
  <c r="T82" i="75"/>
  <c r="Z82" i="75" s="1"/>
  <c r="R82" i="75"/>
  <c r="P82" i="75"/>
  <c r="H82" i="75"/>
  <c r="D82" i="75"/>
  <c r="L82" i="75" s="1"/>
  <c r="N82" i="75" s="1"/>
  <c r="B82" i="75"/>
  <c r="X81" i="75"/>
  <c r="Z81" i="75" s="1"/>
  <c r="N81" i="75"/>
  <c r="L81" i="75"/>
  <c r="B81" i="75"/>
  <c r="Z80" i="75"/>
  <c r="X80" i="75"/>
  <c r="N80" i="75"/>
  <c r="L80" i="75"/>
  <c r="J80" i="75"/>
  <c r="B80" i="75"/>
  <c r="T79" i="75"/>
  <c r="Z79" i="75" s="1"/>
  <c r="P79" i="75"/>
  <c r="X79" i="75" s="1"/>
  <c r="L79" i="75"/>
  <c r="N79" i="75" s="1"/>
  <c r="H79" i="75"/>
  <c r="D79" i="75"/>
  <c r="B79" i="75"/>
  <c r="Z78" i="75"/>
  <c r="X78" i="75"/>
  <c r="V78" i="75"/>
  <c r="L78" i="75"/>
  <c r="N78" i="75" s="1"/>
  <c r="B78" i="75"/>
  <c r="X77" i="75"/>
  <c r="Z77" i="75" s="1"/>
  <c r="T77" i="75"/>
  <c r="P77" i="75"/>
  <c r="L77" i="75"/>
  <c r="H77" i="75"/>
  <c r="D77" i="75"/>
  <c r="B77" i="75"/>
  <c r="Z76" i="75"/>
  <c r="X76" i="75"/>
  <c r="V76" i="75"/>
  <c r="N76" i="75"/>
  <c r="L76" i="75"/>
  <c r="B76" i="75"/>
  <c r="X75" i="75"/>
  <c r="Z75" i="75" s="1"/>
  <c r="R75" i="75"/>
  <c r="L75" i="75"/>
  <c r="N75" i="75" s="1"/>
  <c r="B75" i="75"/>
  <c r="Z74" i="75"/>
  <c r="X74" i="75"/>
  <c r="V74" i="75"/>
  <c r="L74" i="75"/>
  <c r="N74" i="75" s="1"/>
  <c r="B74" i="75"/>
  <c r="X73" i="75"/>
  <c r="Z73" i="75" s="1"/>
  <c r="T73" i="75"/>
  <c r="P73" i="75"/>
  <c r="L73" i="75"/>
  <c r="H73" i="75"/>
  <c r="D73" i="75"/>
  <c r="B73" i="75"/>
  <c r="Z72" i="75"/>
  <c r="X72" i="75"/>
  <c r="V72" i="75"/>
  <c r="N72" i="75"/>
  <c r="L72" i="75"/>
  <c r="B72" i="75"/>
  <c r="X71" i="75"/>
  <c r="Z71" i="75" s="1"/>
  <c r="R71" i="75"/>
  <c r="N71" i="75"/>
  <c r="L71" i="75"/>
  <c r="B71" i="75"/>
  <c r="V70" i="75"/>
  <c r="T70" i="75"/>
  <c r="P70" i="75"/>
  <c r="X70" i="75" s="1"/>
  <c r="Z70" i="75" s="1"/>
  <c r="N70" i="75"/>
  <c r="L70" i="75"/>
  <c r="H70" i="75"/>
  <c r="D70" i="75"/>
  <c r="B70" i="75"/>
  <c r="Z69" i="75"/>
  <c r="X69" i="75"/>
  <c r="R69" i="75"/>
  <c r="N69" i="75"/>
  <c r="L69" i="75"/>
  <c r="B69" i="75"/>
  <c r="Z68" i="75"/>
  <c r="X68" i="75"/>
  <c r="V68" i="75"/>
  <c r="N68" i="75"/>
  <c r="L68" i="75"/>
  <c r="B68" i="75"/>
  <c r="X67" i="75"/>
  <c r="T67" i="75"/>
  <c r="P67" i="75"/>
  <c r="H67" i="75"/>
  <c r="D67" i="75"/>
  <c r="L67" i="75" s="1"/>
  <c r="B67" i="75"/>
  <c r="Z66" i="75"/>
  <c r="X66" i="75"/>
  <c r="N66" i="75"/>
  <c r="L66" i="75"/>
  <c r="J66" i="75"/>
  <c r="B66" i="75"/>
  <c r="X65" i="75"/>
  <c r="Z65" i="75" s="1"/>
  <c r="R65" i="75"/>
  <c r="L65" i="75"/>
  <c r="N65" i="75" s="1"/>
  <c r="B65" i="75"/>
  <c r="Z64" i="75"/>
  <c r="X64" i="75"/>
  <c r="V64" i="75"/>
  <c r="T64" i="75"/>
  <c r="R64" i="75"/>
  <c r="P64" i="75"/>
  <c r="L64" i="75"/>
  <c r="H64" i="75"/>
  <c r="N64" i="75" s="1"/>
  <c r="D64" i="75"/>
  <c r="B64" i="75"/>
  <c r="X63" i="75"/>
  <c r="Z63" i="75" s="1"/>
  <c r="V63" i="75"/>
  <c r="L63" i="75"/>
  <c r="N63" i="75" s="1"/>
  <c r="B63" i="75"/>
  <c r="X62" i="75"/>
  <c r="V62" i="75"/>
  <c r="T62" i="75"/>
  <c r="Z62" i="75" s="1"/>
  <c r="R62" i="75"/>
  <c r="P62" i="75"/>
  <c r="N62" i="75"/>
  <c r="H62" i="75"/>
  <c r="D62" i="75"/>
  <c r="L62" i="75" s="1"/>
  <c r="B62" i="75"/>
  <c r="X61" i="75"/>
  <c r="Z61" i="75" s="1"/>
  <c r="N61" i="75"/>
  <c r="L61" i="75"/>
  <c r="B61" i="75"/>
  <c r="T60" i="75"/>
  <c r="P60" i="75"/>
  <c r="X60" i="75" s="1"/>
  <c r="Z60" i="75" s="1"/>
  <c r="N60" i="75"/>
  <c r="J60" i="75"/>
  <c r="H60" i="75"/>
  <c r="D60" i="75"/>
  <c r="L60" i="75" s="1"/>
  <c r="B60" i="75"/>
  <c r="X59" i="75"/>
  <c r="Z59" i="75" s="1"/>
  <c r="R59" i="75"/>
  <c r="N59" i="75"/>
  <c r="L59" i="75"/>
  <c r="B59" i="75"/>
  <c r="V58" i="75"/>
  <c r="T58" i="75"/>
  <c r="P58" i="75"/>
  <c r="X58" i="75" s="1"/>
  <c r="Z58" i="75" s="1"/>
  <c r="N58" i="75"/>
  <c r="L58" i="75"/>
  <c r="H58" i="75"/>
  <c r="D58" i="75"/>
  <c r="B58" i="75"/>
  <c r="X57" i="75"/>
  <c r="Z57" i="75" s="1"/>
  <c r="R57" i="75"/>
  <c r="L57" i="75"/>
  <c r="N57" i="75" s="1"/>
  <c r="B57" i="75"/>
  <c r="V56" i="75"/>
  <c r="T56" i="75"/>
  <c r="X56" i="75" s="1"/>
  <c r="Z56" i="75" s="1"/>
  <c r="R56" i="75"/>
  <c r="P56" i="75"/>
  <c r="L56" i="75"/>
  <c r="H56" i="75"/>
  <c r="N56" i="75" s="1"/>
  <c r="D56" i="75"/>
  <c r="B56" i="75"/>
  <c r="Z55" i="75"/>
  <c r="X55" i="75"/>
  <c r="V55" i="75"/>
  <c r="N55" i="75"/>
  <c r="L55" i="75"/>
  <c r="B55" i="75"/>
  <c r="X54" i="75"/>
  <c r="V54" i="75"/>
  <c r="T54" i="75"/>
  <c r="Z54" i="75" s="1"/>
  <c r="R54" i="75"/>
  <c r="P54" i="75"/>
  <c r="N54" i="75"/>
  <c r="H54" i="75"/>
  <c r="D54" i="75"/>
  <c r="L54" i="75" s="1"/>
  <c r="B54" i="75"/>
  <c r="X53" i="75"/>
  <c r="Z53" i="75" s="1"/>
  <c r="N53" i="75"/>
  <c r="L53" i="75"/>
  <c r="B53" i="75"/>
  <c r="T52" i="75"/>
  <c r="P52" i="75"/>
  <c r="X52" i="75" s="1"/>
  <c r="Z52" i="75" s="1"/>
  <c r="J52" i="75"/>
  <c r="H52" i="75"/>
  <c r="D52" i="75"/>
  <c r="L52" i="75" s="1"/>
  <c r="N52" i="75" s="1"/>
  <c r="B52" i="75"/>
  <c r="X51" i="75"/>
  <c r="Z51" i="75" s="1"/>
  <c r="R51" i="75"/>
  <c r="N51" i="75"/>
  <c r="L51" i="75"/>
  <c r="B51" i="75"/>
  <c r="V50" i="75"/>
  <c r="T50" i="75"/>
  <c r="P50" i="75"/>
  <c r="X50" i="75" s="1"/>
  <c r="Z50" i="75" s="1"/>
  <c r="N50" i="75"/>
  <c r="L50" i="75"/>
  <c r="H50" i="75"/>
  <c r="D50" i="75"/>
  <c r="B50" i="75"/>
  <c r="Z49" i="75"/>
  <c r="X49" i="75"/>
  <c r="R49" i="75"/>
  <c r="L49" i="75"/>
  <c r="N49" i="75" s="1"/>
  <c r="B49" i="75"/>
  <c r="V48" i="75"/>
  <c r="T48" i="75"/>
  <c r="X48" i="75" s="1"/>
  <c r="Z48" i="75" s="1"/>
  <c r="R48" i="75"/>
  <c r="P48" i="75"/>
  <c r="L48" i="75"/>
  <c r="H48" i="75"/>
  <c r="N48" i="75" s="1"/>
  <c r="D48" i="75"/>
  <c r="B48" i="75"/>
  <c r="Z47" i="75"/>
  <c r="X47" i="75"/>
  <c r="V47" i="75"/>
  <c r="L47" i="75"/>
  <c r="N47" i="75" s="1"/>
  <c r="B47" i="75"/>
  <c r="X46" i="75"/>
  <c r="V46" i="75"/>
  <c r="T46" i="75"/>
  <c r="Z46" i="75" s="1"/>
  <c r="R46" i="75"/>
  <c r="P46" i="75"/>
  <c r="N46" i="75"/>
  <c r="H46" i="75"/>
  <c r="D46" i="75"/>
  <c r="L46" i="75" s="1"/>
  <c r="B46" i="75"/>
  <c r="Z45" i="75"/>
  <c r="X45" i="75"/>
  <c r="N45" i="75"/>
  <c r="L45" i="75"/>
  <c r="B45" i="75"/>
  <c r="Z44" i="75"/>
  <c r="X44" i="75"/>
  <c r="N44" i="75"/>
  <c r="L44" i="75"/>
  <c r="B44" i="75"/>
  <c r="Z43" i="75"/>
  <c r="X43" i="75"/>
  <c r="V43" i="75"/>
  <c r="L43" i="75"/>
  <c r="N43" i="75" s="1"/>
  <c r="B43" i="75"/>
  <c r="X42" i="75"/>
  <c r="Z42" i="75" s="1"/>
  <c r="V42" i="75"/>
  <c r="N42" i="75"/>
  <c r="L42" i="75"/>
  <c r="B42" i="75"/>
  <c r="Z41" i="75"/>
  <c r="X41" i="75"/>
  <c r="R41" i="75"/>
  <c r="N41" i="75"/>
  <c r="L41" i="75"/>
  <c r="B41" i="75"/>
  <c r="Z40" i="75"/>
  <c r="X40" i="75"/>
  <c r="V40" i="75"/>
  <c r="N40" i="75"/>
  <c r="L40" i="75"/>
  <c r="B40" i="75"/>
  <c r="X39" i="75"/>
  <c r="Z39" i="75" s="1"/>
  <c r="R39" i="75"/>
  <c r="N39" i="75"/>
  <c r="L39" i="75"/>
  <c r="B39" i="75"/>
  <c r="Z38" i="75"/>
  <c r="X38" i="75"/>
  <c r="V38" i="75"/>
  <c r="N38" i="75"/>
  <c r="L38" i="75"/>
  <c r="B38" i="75"/>
  <c r="X37" i="75"/>
  <c r="Z37" i="75" s="1"/>
  <c r="N37" i="75"/>
  <c r="L37" i="75"/>
  <c r="B37" i="75"/>
  <c r="Z36" i="75"/>
  <c r="X36" i="75"/>
  <c r="N36" i="75"/>
  <c r="L36" i="75"/>
  <c r="B36" i="75"/>
  <c r="V35" i="75"/>
  <c r="T35" i="75"/>
  <c r="Z35" i="75" s="1"/>
  <c r="P35" i="75"/>
  <c r="X35" i="75" s="1"/>
  <c r="L35" i="75"/>
  <c r="N35" i="75" s="1"/>
  <c r="H35" i="75"/>
  <c r="D35" i="75"/>
  <c r="B35" i="75"/>
  <c r="Z34" i="75"/>
  <c r="X34" i="75"/>
  <c r="V34" i="75"/>
  <c r="N34" i="75"/>
  <c r="L34" i="75"/>
  <c r="B34" i="75"/>
  <c r="X33" i="75"/>
  <c r="Z33" i="75" s="1"/>
  <c r="N33" i="75"/>
  <c r="L33" i="75"/>
  <c r="B33" i="75"/>
  <c r="Z32" i="75"/>
  <c r="X32" i="75"/>
  <c r="N32" i="75"/>
  <c r="L32" i="75"/>
  <c r="B32" i="75"/>
  <c r="Z31" i="75"/>
  <c r="X31" i="75"/>
  <c r="V31" i="75"/>
  <c r="N31" i="75"/>
  <c r="L31" i="75"/>
  <c r="B31" i="75"/>
  <c r="X30" i="75"/>
  <c r="Z30" i="75" s="1"/>
  <c r="V30" i="75"/>
  <c r="N30" i="75"/>
  <c r="L30" i="75"/>
  <c r="J30" i="75"/>
  <c r="B30" i="75"/>
  <c r="Z29" i="75"/>
  <c r="X29" i="75"/>
  <c r="R29" i="75"/>
  <c r="L29" i="75"/>
  <c r="N29" i="75" s="1"/>
  <c r="B29" i="75"/>
  <c r="Z28" i="75"/>
  <c r="X28" i="75"/>
  <c r="V28" i="75"/>
  <c r="N28" i="75"/>
  <c r="L28" i="75"/>
  <c r="B28" i="75"/>
  <c r="X27" i="75"/>
  <c r="Z27" i="75" s="1"/>
  <c r="R27" i="75"/>
  <c r="N27" i="75"/>
  <c r="L27" i="75"/>
  <c r="B27" i="75"/>
  <c r="Z26" i="75"/>
  <c r="X26" i="75"/>
  <c r="V26" i="75"/>
  <c r="L26" i="75"/>
  <c r="N26" i="75" s="1"/>
  <c r="B26" i="75"/>
  <c r="X25" i="75"/>
  <c r="Z25" i="75" s="1"/>
  <c r="T25" i="75"/>
  <c r="P25" i="75"/>
  <c r="L25" i="75"/>
  <c r="H25" i="75"/>
  <c r="D25" i="75"/>
  <c r="B25" i="75"/>
  <c r="V24" i="75"/>
  <c r="T24" i="75"/>
  <c r="R24" i="75"/>
  <c r="P24" i="75"/>
  <c r="X24" i="75" s="1"/>
  <c r="Z24" i="75" s="1"/>
  <c r="L24" i="75"/>
  <c r="H24" i="75"/>
  <c r="N24" i="75" s="1"/>
  <c r="D24" i="75"/>
  <c r="T22" i="75"/>
  <c r="T87" i="75" s="1"/>
  <c r="Z20" i="75"/>
  <c r="X20" i="75"/>
  <c r="V20" i="75"/>
  <c r="N20" i="75"/>
  <c r="L20" i="75"/>
  <c r="B20" i="75"/>
  <c r="Z19" i="75"/>
  <c r="X19" i="75"/>
  <c r="V19" i="75"/>
  <c r="R19" i="75"/>
  <c r="N19" i="75"/>
  <c r="L19" i="75"/>
  <c r="B19" i="75"/>
  <c r="Z18" i="75"/>
  <c r="X18" i="75"/>
  <c r="V18" i="75"/>
  <c r="L18" i="75"/>
  <c r="N18" i="75" s="1"/>
  <c r="B18" i="75"/>
  <c r="X17" i="75"/>
  <c r="Z17" i="75" s="1"/>
  <c r="V17" i="75"/>
  <c r="T17" i="75"/>
  <c r="P17" i="75"/>
  <c r="L17" i="75"/>
  <c r="H17" i="75"/>
  <c r="D17" i="75"/>
  <c r="Z15" i="75"/>
  <c r="X15" i="75"/>
  <c r="P15" i="75"/>
  <c r="N15" i="75"/>
  <c r="D15" i="75"/>
  <c r="L15" i="75" s="1"/>
  <c r="B15" i="75"/>
  <c r="Z14" i="75"/>
  <c r="X14" i="75"/>
  <c r="P14" i="75"/>
  <c r="N14" i="75"/>
  <c r="L14" i="75"/>
  <c r="D14" i="75"/>
  <c r="B14" i="75"/>
  <c r="P13" i="75"/>
  <c r="X13" i="75" s="1"/>
  <c r="Z13" i="75" s="1"/>
  <c r="D13" i="75"/>
  <c r="B13" i="75"/>
  <c r="T12" i="75"/>
  <c r="V81" i="75" s="1"/>
  <c r="P12" i="75"/>
  <c r="H12" i="75"/>
  <c r="J58" i="75" s="1"/>
  <c r="D6" i="75"/>
  <c r="D4" i="75"/>
  <c r="X85" i="74"/>
  <c r="Z85" i="74" s="1"/>
  <c r="N85" i="74"/>
  <c r="L85" i="74"/>
  <c r="J85" i="74"/>
  <c r="Z81" i="74"/>
  <c r="V81" i="74"/>
  <c r="T81" i="74"/>
  <c r="P81" i="74"/>
  <c r="X81" i="74" s="1"/>
  <c r="N81" i="74"/>
  <c r="J81" i="74"/>
  <c r="H81" i="74"/>
  <c r="D81" i="74"/>
  <c r="L81" i="74" s="1"/>
  <c r="Z79" i="74"/>
  <c r="X79" i="74"/>
  <c r="N79" i="74"/>
  <c r="L79" i="74"/>
  <c r="J79" i="74"/>
  <c r="B79" i="74"/>
  <c r="T78" i="74"/>
  <c r="Z78" i="74" s="1"/>
  <c r="P78" i="74"/>
  <c r="H78" i="74"/>
  <c r="N78" i="74" s="1"/>
  <c r="D78" i="74"/>
  <c r="L78" i="74" s="1"/>
  <c r="B78" i="74"/>
  <c r="Z77" i="74"/>
  <c r="X77" i="74"/>
  <c r="N77" i="74"/>
  <c r="L77" i="74"/>
  <c r="B77" i="74"/>
  <c r="Z76" i="74"/>
  <c r="X76" i="74"/>
  <c r="L76" i="74"/>
  <c r="N76" i="74" s="1"/>
  <c r="F76" i="74"/>
  <c r="B76" i="74"/>
  <c r="X75" i="74"/>
  <c r="T75" i="74"/>
  <c r="Z75" i="74" s="1"/>
  <c r="P75" i="74"/>
  <c r="H75" i="74"/>
  <c r="D75" i="74"/>
  <c r="L75" i="74" s="1"/>
  <c r="N75" i="74" s="1"/>
  <c r="B75" i="74"/>
  <c r="X74" i="74"/>
  <c r="Z74" i="74" s="1"/>
  <c r="N74" i="74"/>
  <c r="L74" i="74"/>
  <c r="B74" i="74"/>
  <c r="Z73" i="74"/>
  <c r="X73" i="74"/>
  <c r="N73" i="74"/>
  <c r="L73" i="74"/>
  <c r="B73" i="74"/>
  <c r="Z72" i="74"/>
  <c r="X72" i="74"/>
  <c r="N72" i="74"/>
  <c r="L72" i="74"/>
  <c r="B72" i="74"/>
  <c r="X71" i="74"/>
  <c r="Z71" i="74" s="1"/>
  <c r="N71" i="74"/>
  <c r="L71" i="74"/>
  <c r="J71" i="74"/>
  <c r="B71" i="74"/>
  <c r="Z70" i="74"/>
  <c r="X70" i="74"/>
  <c r="L70" i="74"/>
  <c r="N70" i="74" s="1"/>
  <c r="B70" i="74"/>
  <c r="V69" i="74"/>
  <c r="T69" i="74"/>
  <c r="P69" i="74"/>
  <c r="X69" i="74" s="1"/>
  <c r="Z69" i="74" s="1"/>
  <c r="L69" i="74"/>
  <c r="H69" i="74"/>
  <c r="N69" i="74" s="1"/>
  <c r="D69" i="74"/>
  <c r="B69" i="74"/>
  <c r="Z68" i="74"/>
  <c r="X68" i="74"/>
  <c r="L68" i="74"/>
  <c r="N68" i="74" s="1"/>
  <c r="B68" i="74"/>
  <c r="Z67" i="74"/>
  <c r="X67" i="74"/>
  <c r="N67" i="74"/>
  <c r="L67" i="74"/>
  <c r="B67" i="74"/>
  <c r="Z66" i="74"/>
  <c r="X66" i="74"/>
  <c r="L66" i="74"/>
  <c r="N66" i="74" s="1"/>
  <c r="B66" i="74"/>
  <c r="V65" i="74"/>
  <c r="T65" i="74"/>
  <c r="R65" i="74"/>
  <c r="P65" i="74"/>
  <c r="X65" i="74" s="1"/>
  <c r="Z65" i="74" s="1"/>
  <c r="L65" i="74"/>
  <c r="H65" i="74"/>
  <c r="N65" i="74" s="1"/>
  <c r="D65" i="74"/>
  <c r="B65" i="74"/>
  <c r="Z64" i="74"/>
  <c r="X64" i="74"/>
  <c r="L64" i="74"/>
  <c r="N64" i="74" s="1"/>
  <c r="B64" i="74"/>
  <c r="X63" i="74"/>
  <c r="Z63" i="74" s="1"/>
  <c r="N63" i="74"/>
  <c r="L63" i="74"/>
  <c r="B63" i="74"/>
  <c r="Z62" i="74"/>
  <c r="X62" i="74"/>
  <c r="L62" i="74"/>
  <c r="N62" i="74" s="1"/>
  <c r="B62" i="74"/>
  <c r="V61" i="74"/>
  <c r="T61" i="74"/>
  <c r="R61" i="74"/>
  <c r="P61" i="74"/>
  <c r="X61" i="74" s="1"/>
  <c r="Z61" i="74" s="1"/>
  <c r="L61" i="74"/>
  <c r="H61" i="74"/>
  <c r="N61" i="74" s="1"/>
  <c r="D61" i="74"/>
  <c r="B61" i="74"/>
  <c r="Z60" i="74"/>
  <c r="X60" i="74"/>
  <c r="L60" i="74"/>
  <c r="N60" i="74" s="1"/>
  <c r="B60" i="74"/>
  <c r="X59" i="74"/>
  <c r="T59" i="74"/>
  <c r="Z59" i="74" s="1"/>
  <c r="P59" i="74"/>
  <c r="N59" i="74"/>
  <c r="H59" i="74"/>
  <c r="L59" i="74" s="1"/>
  <c r="D59" i="74"/>
  <c r="B59" i="74"/>
  <c r="X58" i="74"/>
  <c r="Z58" i="74" s="1"/>
  <c r="N58" i="74"/>
  <c r="L58" i="74"/>
  <c r="B58" i="74"/>
  <c r="T57" i="74"/>
  <c r="X57" i="74" s="1"/>
  <c r="Z57" i="74" s="1"/>
  <c r="P57" i="74"/>
  <c r="N57" i="74"/>
  <c r="H57" i="74"/>
  <c r="D57" i="74"/>
  <c r="L57" i="74" s="1"/>
  <c r="B57" i="74"/>
  <c r="Z56" i="74"/>
  <c r="X56" i="74"/>
  <c r="N56" i="74"/>
  <c r="L56" i="74"/>
  <c r="B56" i="74"/>
  <c r="Z55" i="74"/>
  <c r="V55" i="74"/>
  <c r="T55" i="74"/>
  <c r="P55" i="74"/>
  <c r="X55" i="74" s="1"/>
  <c r="N55" i="74"/>
  <c r="H55" i="74"/>
  <c r="F55" i="74"/>
  <c r="D55" i="74"/>
  <c r="L55" i="74" s="1"/>
  <c r="B55" i="74"/>
  <c r="Z54" i="74"/>
  <c r="X54" i="74"/>
  <c r="L54" i="74"/>
  <c r="N54" i="74" s="1"/>
  <c r="B54" i="74"/>
  <c r="V53" i="74"/>
  <c r="T53" i="74"/>
  <c r="R53" i="74"/>
  <c r="P53" i="74"/>
  <c r="X53" i="74" s="1"/>
  <c r="Z53" i="74" s="1"/>
  <c r="L53" i="74"/>
  <c r="H53" i="74"/>
  <c r="N53" i="74" s="1"/>
  <c r="D53" i="74"/>
  <c r="B53" i="74"/>
  <c r="Z52" i="74"/>
  <c r="X52" i="74"/>
  <c r="V52" i="74"/>
  <c r="L52" i="74"/>
  <c r="N52" i="74" s="1"/>
  <c r="B52" i="74"/>
  <c r="Z51" i="74"/>
  <c r="X51" i="74"/>
  <c r="N51" i="74"/>
  <c r="L51" i="74"/>
  <c r="B51" i="74"/>
  <c r="T50" i="74"/>
  <c r="P50" i="74"/>
  <c r="X50" i="74" s="1"/>
  <c r="H50" i="74"/>
  <c r="D50" i="74"/>
  <c r="L50" i="74" s="1"/>
  <c r="B50" i="74"/>
  <c r="Z49" i="74"/>
  <c r="X49" i="74"/>
  <c r="N49" i="74"/>
  <c r="L49" i="74"/>
  <c r="B49" i="74"/>
  <c r="V48" i="74"/>
  <c r="T48" i="74"/>
  <c r="P48" i="74"/>
  <c r="X48" i="74" s="1"/>
  <c r="L48" i="74"/>
  <c r="N48" i="74" s="1"/>
  <c r="H48" i="74"/>
  <c r="D48" i="74"/>
  <c r="B48" i="74"/>
  <c r="Z47" i="74"/>
  <c r="X47" i="74"/>
  <c r="V47" i="74"/>
  <c r="N47" i="74"/>
  <c r="L47" i="74"/>
  <c r="B47" i="74"/>
  <c r="Z46" i="74"/>
  <c r="X46" i="74"/>
  <c r="T46" i="74"/>
  <c r="P46" i="74"/>
  <c r="L46" i="74"/>
  <c r="H46" i="74"/>
  <c r="N46" i="74" s="1"/>
  <c r="D46" i="74"/>
  <c r="B46" i="74"/>
  <c r="Z45" i="74"/>
  <c r="X45" i="74"/>
  <c r="V45" i="74"/>
  <c r="N45" i="74"/>
  <c r="L45" i="74"/>
  <c r="B45" i="74"/>
  <c r="T44" i="74"/>
  <c r="Z44" i="74" s="1"/>
  <c r="P44" i="74"/>
  <c r="N44" i="74"/>
  <c r="H44" i="74"/>
  <c r="D44" i="74"/>
  <c r="L44" i="74" s="1"/>
  <c r="B44" i="74"/>
  <c r="Z43" i="74"/>
  <c r="X43" i="74"/>
  <c r="V43" i="74"/>
  <c r="N43" i="74"/>
  <c r="L43" i="74"/>
  <c r="B43" i="74"/>
  <c r="Z42" i="74"/>
  <c r="X42" i="74"/>
  <c r="N42" i="74"/>
  <c r="L42" i="74"/>
  <c r="B42" i="74"/>
  <c r="Z41" i="74"/>
  <c r="X41" i="74"/>
  <c r="V41" i="74"/>
  <c r="N41" i="74"/>
  <c r="L41" i="74"/>
  <c r="B41" i="74"/>
  <c r="Z40" i="74"/>
  <c r="X40" i="74"/>
  <c r="R40" i="74"/>
  <c r="N40" i="74"/>
  <c r="L40" i="74"/>
  <c r="B40" i="74"/>
  <c r="Z39" i="74"/>
  <c r="X39" i="74"/>
  <c r="V39" i="74"/>
  <c r="N39" i="74"/>
  <c r="L39" i="74"/>
  <c r="B39" i="74"/>
  <c r="Z38" i="74"/>
  <c r="X38" i="74"/>
  <c r="N38" i="74"/>
  <c r="L38" i="74"/>
  <c r="B38" i="74"/>
  <c r="Z37" i="74"/>
  <c r="X37" i="74"/>
  <c r="N37" i="74"/>
  <c r="L37" i="74"/>
  <c r="J37" i="74"/>
  <c r="B37" i="74"/>
  <c r="Z36" i="74"/>
  <c r="X36" i="74"/>
  <c r="V36" i="74"/>
  <c r="N36" i="74"/>
  <c r="L36" i="74"/>
  <c r="F36" i="74"/>
  <c r="B36" i="74"/>
  <c r="X35" i="74"/>
  <c r="Z35" i="74" s="1"/>
  <c r="V35" i="74"/>
  <c r="N35" i="74"/>
  <c r="L35" i="74"/>
  <c r="J35" i="74"/>
  <c r="B35" i="74"/>
  <c r="Z34" i="74"/>
  <c r="X34" i="74"/>
  <c r="N34" i="74"/>
  <c r="L34" i="74"/>
  <c r="B34" i="74"/>
  <c r="Z33" i="74"/>
  <c r="V33" i="74"/>
  <c r="T33" i="74"/>
  <c r="P33" i="74"/>
  <c r="X33" i="74" s="1"/>
  <c r="L33" i="74"/>
  <c r="N33" i="74" s="1"/>
  <c r="H33" i="74"/>
  <c r="F33" i="74"/>
  <c r="D33" i="74"/>
  <c r="B33" i="74"/>
  <c r="Z32" i="74"/>
  <c r="X32" i="74"/>
  <c r="V32" i="74"/>
  <c r="L32" i="74"/>
  <c r="N32" i="74" s="1"/>
  <c r="F32" i="74"/>
  <c r="B32" i="74"/>
  <c r="X31" i="74"/>
  <c r="Z31" i="74" s="1"/>
  <c r="V31" i="74"/>
  <c r="N31" i="74"/>
  <c r="L31" i="74"/>
  <c r="B31" i="74"/>
  <c r="Z30" i="74"/>
  <c r="X30" i="74"/>
  <c r="R30" i="74"/>
  <c r="N30" i="74"/>
  <c r="L30" i="74"/>
  <c r="B30" i="74"/>
  <c r="Z29" i="74"/>
  <c r="X29" i="74"/>
  <c r="V29" i="74"/>
  <c r="N29" i="74"/>
  <c r="L29" i="74"/>
  <c r="B29" i="74"/>
  <c r="X28" i="74"/>
  <c r="Z28" i="74" s="1"/>
  <c r="V28" i="74"/>
  <c r="N28" i="74"/>
  <c r="L28" i="74"/>
  <c r="J28" i="74"/>
  <c r="B28" i="74"/>
  <c r="Z27" i="74"/>
  <c r="X27" i="74"/>
  <c r="V27" i="74"/>
  <c r="L27" i="74"/>
  <c r="N27" i="74" s="1"/>
  <c r="B27" i="74"/>
  <c r="X26" i="74"/>
  <c r="Z26" i="74" s="1"/>
  <c r="L26" i="74"/>
  <c r="N26" i="74" s="1"/>
  <c r="B26" i="74"/>
  <c r="Z25" i="74"/>
  <c r="X25" i="74"/>
  <c r="N25" i="74"/>
  <c r="L25" i="74"/>
  <c r="J25" i="74"/>
  <c r="B25" i="74"/>
  <c r="T24" i="74"/>
  <c r="P24" i="74"/>
  <c r="H24" i="74"/>
  <c r="D24" i="74"/>
  <c r="L24" i="74" s="1"/>
  <c r="N24" i="74" s="1"/>
  <c r="B24" i="74"/>
  <c r="V23" i="74"/>
  <c r="T23" i="74"/>
  <c r="P23" i="74"/>
  <c r="X23" i="74" s="1"/>
  <c r="Z23" i="74" s="1"/>
  <c r="N23" i="74"/>
  <c r="J23" i="74"/>
  <c r="H23" i="74"/>
  <c r="F23" i="74"/>
  <c r="D23" i="74"/>
  <c r="L23" i="74" s="1"/>
  <c r="H21" i="74"/>
  <c r="Z19" i="74"/>
  <c r="X19" i="74"/>
  <c r="V19" i="74"/>
  <c r="N19" i="74"/>
  <c r="L19" i="74"/>
  <c r="J19" i="74"/>
  <c r="B19" i="74"/>
  <c r="Z18" i="74"/>
  <c r="X18" i="74"/>
  <c r="V18" i="74"/>
  <c r="N18" i="74"/>
  <c r="L18" i="74"/>
  <c r="B18" i="74"/>
  <c r="X17" i="74"/>
  <c r="Z17" i="74" s="1"/>
  <c r="N17" i="74"/>
  <c r="L17" i="74"/>
  <c r="J17" i="74"/>
  <c r="B17" i="74"/>
  <c r="V16" i="74"/>
  <c r="T16" i="74"/>
  <c r="P16" i="74"/>
  <c r="X16" i="74" s="1"/>
  <c r="Z16" i="74" s="1"/>
  <c r="L16" i="74"/>
  <c r="N16" i="74" s="1"/>
  <c r="H16" i="74"/>
  <c r="D16" i="74"/>
  <c r="P14" i="74"/>
  <c r="X14" i="74" s="1"/>
  <c r="Z14" i="74" s="1"/>
  <c r="L14" i="74"/>
  <c r="N14" i="74" s="1"/>
  <c r="D14" i="74"/>
  <c r="B14" i="74"/>
  <c r="P13" i="74"/>
  <c r="X13" i="74" s="1"/>
  <c r="Z13" i="74" s="1"/>
  <c r="L13" i="74"/>
  <c r="N13" i="74" s="1"/>
  <c r="D13" i="74"/>
  <c r="D12" i="74" s="1"/>
  <c r="F58" i="74" s="1"/>
  <c r="B13" i="74"/>
  <c r="X12" i="74"/>
  <c r="Z12" i="74" s="1"/>
  <c r="T12" i="74"/>
  <c r="V74" i="74" s="1"/>
  <c r="P12" i="74"/>
  <c r="R66" i="74" s="1"/>
  <c r="L12" i="74"/>
  <c r="H12" i="74"/>
  <c r="J67" i="74" s="1"/>
  <c r="D6" i="74"/>
  <c r="D4" i="74"/>
  <c r="X27" i="73"/>
  <c r="Z27" i="73" s="1"/>
  <c r="N27" i="73"/>
  <c r="L27" i="73"/>
  <c r="F27" i="73"/>
  <c r="Z23" i="73"/>
  <c r="T23" i="73"/>
  <c r="P23" i="73"/>
  <c r="N23" i="73"/>
  <c r="L23" i="73"/>
  <c r="J23" i="73"/>
  <c r="H23" i="73"/>
  <c r="D23" i="73"/>
  <c r="T21" i="73"/>
  <c r="Z21" i="73" s="1"/>
  <c r="P21" i="73"/>
  <c r="X21" i="73" s="1"/>
  <c r="N21" i="73"/>
  <c r="L21" i="73"/>
  <c r="H21" i="73"/>
  <c r="D21" i="73"/>
  <c r="H19" i="73"/>
  <c r="D19" i="73"/>
  <c r="X17" i="73"/>
  <c r="Z17" i="73" s="1"/>
  <c r="V17" i="73"/>
  <c r="N17" i="73"/>
  <c r="L17" i="73"/>
  <c r="J17" i="73"/>
  <c r="B17" i="73"/>
  <c r="T16" i="73"/>
  <c r="P16" i="73"/>
  <c r="X16" i="73" s="1"/>
  <c r="L16" i="73"/>
  <c r="H16" i="73"/>
  <c r="N16" i="73" s="1"/>
  <c r="D16" i="73"/>
  <c r="Z14" i="73"/>
  <c r="X14" i="73"/>
  <c r="P14" i="73"/>
  <c r="N14" i="73"/>
  <c r="D14" i="73"/>
  <c r="L14" i="73" s="1"/>
  <c r="B14" i="73"/>
  <c r="P13" i="73"/>
  <c r="X13" i="73" s="1"/>
  <c r="Z13" i="73" s="1"/>
  <c r="L13" i="73"/>
  <c r="N13" i="73" s="1"/>
  <c r="D13" i="73"/>
  <c r="B13" i="73"/>
  <c r="T12" i="73"/>
  <c r="P12" i="73"/>
  <c r="L12" i="73"/>
  <c r="H12" i="73"/>
  <c r="D12" i="73"/>
  <c r="F23" i="73" s="1"/>
  <c r="D6" i="73"/>
  <c r="D4" i="73"/>
  <c r="Z26" i="72"/>
  <c r="X26" i="72"/>
  <c r="R26" i="72"/>
  <c r="N26" i="72"/>
  <c r="L26" i="72"/>
  <c r="T22" i="72"/>
  <c r="Z22" i="72" s="1"/>
  <c r="P22" i="72"/>
  <c r="X22" i="72" s="1"/>
  <c r="L22" i="72"/>
  <c r="H22" i="72"/>
  <c r="N22" i="72" s="1"/>
  <c r="D22" i="72"/>
  <c r="Z20" i="72"/>
  <c r="X20" i="72"/>
  <c r="R20" i="72"/>
  <c r="N20" i="72"/>
  <c r="L20" i="72"/>
  <c r="B20" i="72"/>
  <c r="Z19" i="72"/>
  <c r="V19" i="72"/>
  <c r="T19" i="72"/>
  <c r="X19" i="72" s="1"/>
  <c r="P19" i="72"/>
  <c r="N19" i="72"/>
  <c r="L19" i="72"/>
  <c r="J19" i="72"/>
  <c r="H19" i="72"/>
  <c r="F19" i="72"/>
  <c r="D19" i="72"/>
  <c r="B19" i="72"/>
  <c r="V18" i="72"/>
  <c r="T18" i="72"/>
  <c r="Z18" i="72" s="1"/>
  <c r="P18" i="72"/>
  <c r="X18" i="72" s="1"/>
  <c r="H18" i="72"/>
  <c r="N18" i="72" s="1"/>
  <c r="D18" i="72"/>
  <c r="L18" i="72" s="1"/>
  <c r="H16" i="72"/>
  <c r="V14" i="72"/>
  <c r="T14" i="72"/>
  <c r="T16" i="72" s="1"/>
  <c r="Z16" i="72" s="1"/>
  <c r="P14" i="72"/>
  <c r="X14" i="72" s="1"/>
  <c r="H14" i="72"/>
  <c r="N14" i="72" s="1"/>
  <c r="D14" i="72"/>
  <c r="L14" i="72" s="1"/>
  <c r="X12" i="72"/>
  <c r="T12" i="72"/>
  <c r="V16" i="72" s="1"/>
  <c r="P12" i="72"/>
  <c r="R31" i="72" s="1"/>
  <c r="H12" i="72"/>
  <c r="J28" i="72" s="1"/>
  <c r="D12" i="72"/>
  <c r="F16" i="72" s="1"/>
  <c r="D6" i="72"/>
  <c r="D4" i="72"/>
  <c r="X72" i="71"/>
  <c r="Z72" i="71" s="1"/>
  <c r="L72" i="71"/>
  <c r="N72" i="71" s="1"/>
  <c r="T68" i="71"/>
  <c r="P68" i="71"/>
  <c r="H68" i="71"/>
  <c r="N68" i="71" s="1"/>
  <c r="D68" i="71"/>
  <c r="L68" i="71" s="1"/>
  <c r="X66" i="71"/>
  <c r="Z66" i="71" s="1"/>
  <c r="N66" i="71"/>
  <c r="L66" i="71"/>
  <c r="B66" i="71"/>
  <c r="T65" i="71"/>
  <c r="P65" i="71"/>
  <c r="X65" i="71" s="1"/>
  <c r="Z65" i="71" s="1"/>
  <c r="N65" i="71"/>
  <c r="H65" i="71"/>
  <c r="D65" i="71"/>
  <c r="L65" i="71" s="1"/>
  <c r="B65" i="71"/>
  <c r="X64" i="71"/>
  <c r="Z64" i="71" s="1"/>
  <c r="L64" i="71"/>
  <c r="N64" i="71" s="1"/>
  <c r="B64" i="71"/>
  <c r="Z63" i="71"/>
  <c r="T63" i="71"/>
  <c r="P63" i="71"/>
  <c r="X63" i="71" s="1"/>
  <c r="J63" i="71"/>
  <c r="H63" i="71"/>
  <c r="L63" i="71" s="1"/>
  <c r="N63" i="71" s="1"/>
  <c r="D63" i="71"/>
  <c r="B63" i="71"/>
  <c r="X62" i="71"/>
  <c r="Z62" i="71" s="1"/>
  <c r="R62" i="71"/>
  <c r="L62" i="71"/>
  <c r="N62" i="71" s="1"/>
  <c r="B62" i="71"/>
  <c r="Z61" i="71"/>
  <c r="X61" i="71"/>
  <c r="V61" i="71"/>
  <c r="N61" i="71"/>
  <c r="L61" i="71"/>
  <c r="B61" i="71"/>
  <c r="Z60" i="71"/>
  <c r="X60" i="71"/>
  <c r="N60" i="71"/>
  <c r="L60" i="71"/>
  <c r="B60" i="71"/>
  <c r="T59" i="71"/>
  <c r="P59" i="71"/>
  <c r="X59" i="71" s="1"/>
  <c r="Z59" i="71" s="1"/>
  <c r="J59" i="71"/>
  <c r="H59" i="71"/>
  <c r="D59" i="71"/>
  <c r="L59" i="71" s="1"/>
  <c r="N59" i="71" s="1"/>
  <c r="B59" i="71"/>
  <c r="Z58" i="71"/>
  <c r="X58" i="71"/>
  <c r="R58" i="71"/>
  <c r="N58" i="71"/>
  <c r="L58" i="71"/>
  <c r="B58" i="71"/>
  <c r="Z57" i="71"/>
  <c r="X57" i="71"/>
  <c r="V57" i="71"/>
  <c r="N57" i="71"/>
  <c r="L57" i="71"/>
  <c r="B57" i="71"/>
  <c r="X56" i="71"/>
  <c r="T56" i="71"/>
  <c r="P56" i="71"/>
  <c r="H56" i="71"/>
  <c r="D56" i="71"/>
  <c r="B56" i="71"/>
  <c r="Z55" i="71"/>
  <c r="X55" i="71"/>
  <c r="V55" i="71"/>
  <c r="N55" i="71"/>
  <c r="L55" i="71"/>
  <c r="B55" i="71"/>
  <c r="T54" i="71"/>
  <c r="P54" i="71"/>
  <c r="H54" i="71"/>
  <c r="D54" i="71"/>
  <c r="L54" i="71" s="1"/>
  <c r="B54" i="71"/>
  <c r="Z53" i="71"/>
  <c r="X53" i="71"/>
  <c r="N53" i="71"/>
  <c r="L53" i="71"/>
  <c r="J53" i="71"/>
  <c r="B53" i="71"/>
  <c r="X52" i="71"/>
  <c r="Z52" i="71" s="1"/>
  <c r="L52" i="71"/>
  <c r="N52" i="71" s="1"/>
  <c r="B52" i="71"/>
  <c r="Z51" i="71"/>
  <c r="X51" i="71"/>
  <c r="V51" i="71"/>
  <c r="T51" i="71"/>
  <c r="R51" i="71"/>
  <c r="P51" i="71"/>
  <c r="H51" i="71"/>
  <c r="L51" i="71" s="1"/>
  <c r="N51" i="71" s="1"/>
  <c r="D51" i="71"/>
  <c r="B51" i="71"/>
  <c r="X50" i="71"/>
  <c r="Z50" i="71" s="1"/>
  <c r="L50" i="71"/>
  <c r="N50" i="71" s="1"/>
  <c r="B50" i="71"/>
  <c r="T49" i="71"/>
  <c r="P49" i="71"/>
  <c r="X49" i="71" s="1"/>
  <c r="Z49" i="71" s="1"/>
  <c r="N49" i="71"/>
  <c r="H49" i="71"/>
  <c r="D49" i="71"/>
  <c r="L49" i="71" s="1"/>
  <c r="B49" i="71"/>
  <c r="X48" i="71"/>
  <c r="Z48" i="71" s="1"/>
  <c r="L48" i="71"/>
  <c r="N48" i="71" s="1"/>
  <c r="B48" i="71"/>
  <c r="T47" i="71"/>
  <c r="P47" i="71"/>
  <c r="X47" i="71" s="1"/>
  <c r="Z47" i="71" s="1"/>
  <c r="J47" i="71"/>
  <c r="H47" i="71"/>
  <c r="L47" i="71" s="1"/>
  <c r="N47" i="71" s="1"/>
  <c r="D47" i="71"/>
  <c r="B47" i="71"/>
  <c r="X46" i="71"/>
  <c r="Z46" i="71" s="1"/>
  <c r="R46" i="71"/>
  <c r="L46" i="71"/>
  <c r="N46" i="71" s="1"/>
  <c r="B46" i="71"/>
  <c r="V45" i="71"/>
  <c r="T45" i="71"/>
  <c r="X45" i="71" s="1"/>
  <c r="Z45" i="71" s="1"/>
  <c r="P45" i="71"/>
  <c r="N45" i="71"/>
  <c r="L45" i="71"/>
  <c r="J45" i="71"/>
  <c r="H45" i="71"/>
  <c r="D45" i="71"/>
  <c r="B45" i="71"/>
  <c r="Z44" i="71"/>
  <c r="X44" i="71"/>
  <c r="N44" i="71"/>
  <c r="L44" i="71"/>
  <c r="B44" i="71"/>
  <c r="Z43" i="71"/>
  <c r="X43" i="71"/>
  <c r="V43" i="71"/>
  <c r="T43" i="71"/>
  <c r="R43" i="71"/>
  <c r="P43" i="71"/>
  <c r="N43" i="71"/>
  <c r="H43" i="71"/>
  <c r="D43" i="71"/>
  <c r="L43" i="71" s="1"/>
  <c r="B43" i="71"/>
  <c r="Z42" i="71"/>
  <c r="X42" i="71"/>
  <c r="N42" i="71"/>
  <c r="L42" i="71"/>
  <c r="B42" i="71"/>
  <c r="Z41" i="71"/>
  <c r="X41" i="71"/>
  <c r="N41" i="71"/>
  <c r="L41" i="71"/>
  <c r="J41" i="71"/>
  <c r="B41" i="71"/>
  <c r="X40" i="71"/>
  <c r="Z40" i="71" s="1"/>
  <c r="L40" i="71"/>
  <c r="N40" i="71" s="1"/>
  <c r="B40" i="71"/>
  <c r="Z39" i="71"/>
  <c r="X39" i="71"/>
  <c r="V39" i="71"/>
  <c r="N39" i="71"/>
  <c r="L39" i="71"/>
  <c r="B39" i="71"/>
  <c r="Z38" i="71"/>
  <c r="X38" i="71"/>
  <c r="R38" i="71"/>
  <c r="N38" i="71"/>
  <c r="L38" i="71"/>
  <c r="B38" i="71"/>
  <c r="Z37" i="71"/>
  <c r="X37" i="71"/>
  <c r="V37" i="71"/>
  <c r="N37" i="71"/>
  <c r="L37" i="71"/>
  <c r="B37" i="71"/>
  <c r="X36" i="71"/>
  <c r="Z36" i="71" s="1"/>
  <c r="L36" i="71"/>
  <c r="N36" i="71" s="1"/>
  <c r="B36" i="71"/>
  <c r="Z35" i="71"/>
  <c r="X35" i="71"/>
  <c r="V35" i="71"/>
  <c r="N35" i="71"/>
  <c r="L35" i="71"/>
  <c r="J35" i="71"/>
  <c r="B35" i="71"/>
  <c r="Z34" i="71"/>
  <c r="X34" i="71"/>
  <c r="N34" i="71"/>
  <c r="L34" i="71"/>
  <c r="B34" i="71"/>
  <c r="Z33" i="71"/>
  <c r="X33" i="71"/>
  <c r="V33" i="71"/>
  <c r="N33" i="71"/>
  <c r="L33" i="71"/>
  <c r="J33" i="71"/>
  <c r="B33" i="71"/>
  <c r="T32" i="71"/>
  <c r="P32" i="71"/>
  <c r="X32" i="71" s="1"/>
  <c r="H32" i="71"/>
  <c r="D32" i="71"/>
  <c r="L32" i="71" s="1"/>
  <c r="B32" i="71"/>
  <c r="Z31" i="71"/>
  <c r="X31" i="71"/>
  <c r="V31" i="71"/>
  <c r="N31" i="71"/>
  <c r="L31" i="71"/>
  <c r="J31" i="71"/>
  <c r="B31" i="71"/>
  <c r="X30" i="71"/>
  <c r="Z30" i="71" s="1"/>
  <c r="L30" i="71"/>
  <c r="N30" i="71" s="1"/>
  <c r="B30" i="71"/>
  <c r="Z29" i="71"/>
  <c r="X29" i="71"/>
  <c r="V29" i="71"/>
  <c r="N29" i="71"/>
  <c r="L29" i="71"/>
  <c r="J29" i="71"/>
  <c r="B29" i="71"/>
  <c r="Z28" i="71"/>
  <c r="X28" i="71"/>
  <c r="R28" i="71"/>
  <c r="N28" i="71"/>
  <c r="L28" i="71"/>
  <c r="B28" i="71"/>
  <c r="Z27" i="71"/>
  <c r="X27" i="71"/>
  <c r="V27" i="71"/>
  <c r="N27" i="71"/>
  <c r="L27" i="71"/>
  <c r="J27" i="71"/>
  <c r="B27" i="71"/>
  <c r="X26" i="71"/>
  <c r="Z26" i="71" s="1"/>
  <c r="R26" i="71"/>
  <c r="L26" i="71"/>
  <c r="N26" i="71" s="1"/>
  <c r="B26" i="71"/>
  <c r="Z25" i="71"/>
  <c r="X25" i="71"/>
  <c r="V25" i="71"/>
  <c r="N25" i="71"/>
  <c r="L25" i="71"/>
  <c r="J25" i="71"/>
  <c r="B25" i="71"/>
  <c r="X24" i="71"/>
  <c r="Z24" i="71" s="1"/>
  <c r="L24" i="71"/>
  <c r="N24" i="71" s="1"/>
  <c r="B24" i="71"/>
  <c r="Z23" i="71"/>
  <c r="X23" i="71"/>
  <c r="V23" i="71"/>
  <c r="N23" i="71"/>
  <c r="L23" i="71"/>
  <c r="J23" i="71"/>
  <c r="B23" i="71"/>
  <c r="T22" i="71"/>
  <c r="P22" i="71"/>
  <c r="X22" i="71" s="1"/>
  <c r="L22" i="71"/>
  <c r="H22" i="71"/>
  <c r="N22" i="71" s="1"/>
  <c r="D22" i="71"/>
  <c r="B22" i="71"/>
  <c r="V21" i="71"/>
  <c r="T21" i="71"/>
  <c r="P21" i="71"/>
  <c r="X21" i="71" s="1"/>
  <c r="Z21" i="71" s="1"/>
  <c r="J21" i="71"/>
  <c r="H21" i="71"/>
  <c r="D21" i="71"/>
  <c r="L21" i="71" s="1"/>
  <c r="N21" i="71" s="1"/>
  <c r="R19" i="71"/>
  <c r="Z17" i="71"/>
  <c r="X17" i="71"/>
  <c r="V17" i="71"/>
  <c r="N17" i="71"/>
  <c r="L17" i="71"/>
  <c r="J17" i="71"/>
  <c r="B17" i="71"/>
  <c r="X16" i="71"/>
  <c r="T16" i="71"/>
  <c r="V16" i="71" s="1"/>
  <c r="P16" i="71"/>
  <c r="H16" i="71"/>
  <c r="D16" i="71"/>
  <c r="X14" i="71"/>
  <c r="Z14" i="71" s="1"/>
  <c r="P14" i="71"/>
  <c r="D14" i="71"/>
  <c r="B14" i="71"/>
  <c r="P13" i="71"/>
  <c r="X13" i="71" s="1"/>
  <c r="Z13" i="71" s="1"/>
  <c r="L13" i="71"/>
  <c r="N13" i="71" s="1"/>
  <c r="D13" i="71"/>
  <c r="B13" i="71"/>
  <c r="X12" i="71"/>
  <c r="Z12" i="71" s="1"/>
  <c r="T12" i="71"/>
  <c r="V64" i="71" s="1"/>
  <c r="P12" i="71"/>
  <c r="R74" i="71" s="1"/>
  <c r="H12" i="71"/>
  <c r="D6" i="71"/>
  <c r="D4" i="71"/>
  <c r="X80" i="69"/>
  <c r="Z80" i="69" s="1"/>
  <c r="L80" i="69"/>
  <c r="N80" i="69" s="1"/>
  <c r="X76" i="69"/>
  <c r="Z76" i="69" s="1"/>
  <c r="P76" i="69"/>
  <c r="D76" i="69"/>
  <c r="L76" i="69" s="1"/>
  <c r="N76" i="69" s="1"/>
  <c r="B76" i="69"/>
  <c r="Z75" i="69"/>
  <c r="P75" i="69"/>
  <c r="N75" i="69"/>
  <c r="L75" i="69"/>
  <c r="D75" i="69"/>
  <c r="B75" i="69"/>
  <c r="Z74" i="69"/>
  <c r="X74" i="69"/>
  <c r="P74" i="69"/>
  <c r="N74" i="69"/>
  <c r="D74" i="69"/>
  <c r="B74" i="69"/>
  <c r="T73" i="69"/>
  <c r="H73" i="69"/>
  <c r="Z71" i="69"/>
  <c r="X71" i="69"/>
  <c r="N71" i="69"/>
  <c r="L71" i="69"/>
  <c r="B71" i="69"/>
  <c r="X70" i="69"/>
  <c r="T70" i="69"/>
  <c r="Z70" i="69" s="1"/>
  <c r="P70" i="69"/>
  <c r="H70" i="69"/>
  <c r="D70" i="69"/>
  <c r="B70" i="69"/>
  <c r="Z69" i="69"/>
  <c r="X69" i="69"/>
  <c r="N69" i="69"/>
  <c r="L69" i="69"/>
  <c r="B69" i="69"/>
  <c r="X68" i="69"/>
  <c r="Z68" i="69" s="1"/>
  <c r="L68" i="69"/>
  <c r="N68" i="69" s="1"/>
  <c r="B68" i="69"/>
  <c r="T67" i="69"/>
  <c r="P67" i="69"/>
  <c r="X67" i="69" s="1"/>
  <c r="Z67" i="69" s="1"/>
  <c r="H67" i="69"/>
  <c r="D67" i="69"/>
  <c r="L67" i="69" s="1"/>
  <c r="N67" i="69" s="1"/>
  <c r="B67" i="69"/>
  <c r="X66" i="69"/>
  <c r="Z66" i="69" s="1"/>
  <c r="L66" i="69"/>
  <c r="N66" i="69" s="1"/>
  <c r="B66" i="69"/>
  <c r="T65" i="69"/>
  <c r="P65" i="69"/>
  <c r="X65" i="69" s="1"/>
  <c r="Z65" i="69" s="1"/>
  <c r="H65" i="69"/>
  <c r="L65" i="69" s="1"/>
  <c r="N65" i="69" s="1"/>
  <c r="D65" i="69"/>
  <c r="B65" i="69"/>
  <c r="X64" i="69"/>
  <c r="Z64" i="69" s="1"/>
  <c r="L64" i="69"/>
  <c r="N64" i="69" s="1"/>
  <c r="F64" i="69"/>
  <c r="B64" i="69"/>
  <c r="T63" i="69"/>
  <c r="X63" i="69" s="1"/>
  <c r="Z63" i="69" s="1"/>
  <c r="P63" i="69"/>
  <c r="N63" i="69"/>
  <c r="L63" i="69"/>
  <c r="H63" i="69"/>
  <c r="D63" i="69"/>
  <c r="B63" i="69"/>
  <c r="X62" i="69"/>
  <c r="Z62" i="69" s="1"/>
  <c r="L62" i="69"/>
  <c r="N62" i="69" s="1"/>
  <c r="B62" i="69"/>
  <c r="Z61" i="69"/>
  <c r="X61" i="69"/>
  <c r="T61" i="69"/>
  <c r="P61" i="69"/>
  <c r="J61" i="69"/>
  <c r="H61" i="69"/>
  <c r="D61" i="69"/>
  <c r="L61" i="69" s="1"/>
  <c r="N61" i="69" s="1"/>
  <c r="B61" i="69"/>
  <c r="X60" i="69"/>
  <c r="Z60" i="69" s="1"/>
  <c r="L60" i="69"/>
  <c r="N60" i="69" s="1"/>
  <c r="B60" i="69"/>
  <c r="Z59" i="69"/>
  <c r="T59" i="69"/>
  <c r="P59" i="69"/>
  <c r="X59" i="69" s="1"/>
  <c r="H59" i="69"/>
  <c r="D59" i="69"/>
  <c r="L59" i="69" s="1"/>
  <c r="N59" i="69" s="1"/>
  <c r="B59" i="69"/>
  <c r="Z58" i="69"/>
  <c r="X58" i="69"/>
  <c r="N58" i="69"/>
  <c r="L58" i="69"/>
  <c r="B58" i="69"/>
  <c r="Z57" i="69"/>
  <c r="T57" i="69"/>
  <c r="P57" i="69"/>
  <c r="X57" i="69" s="1"/>
  <c r="N57" i="69"/>
  <c r="H57" i="69"/>
  <c r="L57" i="69" s="1"/>
  <c r="D57" i="69"/>
  <c r="B57" i="69"/>
  <c r="Z56" i="69"/>
  <c r="X56" i="69"/>
  <c r="L56" i="69"/>
  <c r="N56" i="69" s="1"/>
  <c r="B56" i="69"/>
  <c r="T55" i="69"/>
  <c r="X55" i="69" s="1"/>
  <c r="Z55" i="69" s="1"/>
  <c r="P55" i="69"/>
  <c r="N55" i="69"/>
  <c r="L55" i="69"/>
  <c r="H55" i="69"/>
  <c r="D55" i="69"/>
  <c r="B55" i="69"/>
  <c r="Z54" i="69"/>
  <c r="X54" i="69"/>
  <c r="N54" i="69"/>
  <c r="L54" i="69"/>
  <c r="B54" i="69"/>
  <c r="Z53" i="69"/>
  <c r="X53" i="69"/>
  <c r="N53" i="69"/>
  <c r="L53" i="69"/>
  <c r="J53" i="69"/>
  <c r="B53" i="69"/>
  <c r="Z52" i="69"/>
  <c r="X52" i="69"/>
  <c r="L52" i="69"/>
  <c r="N52" i="69" s="1"/>
  <c r="B52" i="69"/>
  <c r="Z51" i="69"/>
  <c r="X51" i="69"/>
  <c r="N51" i="69"/>
  <c r="L51" i="69"/>
  <c r="B51" i="69"/>
  <c r="Z50" i="69"/>
  <c r="X50" i="69"/>
  <c r="N50" i="69"/>
  <c r="L50" i="69"/>
  <c r="B50" i="69"/>
  <c r="Z49" i="69"/>
  <c r="X49" i="69"/>
  <c r="N49" i="69"/>
  <c r="L49" i="69"/>
  <c r="B49" i="69"/>
  <c r="X48" i="69"/>
  <c r="Z48" i="69" s="1"/>
  <c r="N48" i="69"/>
  <c r="L48" i="69"/>
  <c r="B48" i="69"/>
  <c r="Z47" i="69"/>
  <c r="X47" i="69"/>
  <c r="V47" i="69"/>
  <c r="N47" i="69"/>
  <c r="L47" i="69"/>
  <c r="B47" i="69"/>
  <c r="X46" i="69"/>
  <c r="Z46" i="69" s="1"/>
  <c r="L46" i="69"/>
  <c r="N46" i="69" s="1"/>
  <c r="B46" i="69"/>
  <c r="Z45" i="69"/>
  <c r="X45" i="69"/>
  <c r="N45" i="69"/>
  <c r="L45" i="69"/>
  <c r="B45" i="69"/>
  <c r="T44" i="69"/>
  <c r="P44" i="69"/>
  <c r="X44" i="69" s="1"/>
  <c r="Z44" i="69" s="1"/>
  <c r="L44" i="69"/>
  <c r="H44" i="69"/>
  <c r="D44" i="69"/>
  <c r="B44" i="69"/>
  <c r="Z43" i="69"/>
  <c r="X43" i="69"/>
  <c r="N43" i="69"/>
  <c r="L43" i="69"/>
  <c r="B43" i="69"/>
  <c r="X42" i="69"/>
  <c r="Z42" i="69" s="1"/>
  <c r="L42" i="69"/>
  <c r="N42" i="69" s="1"/>
  <c r="F42" i="69"/>
  <c r="B42" i="69"/>
  <c r="X41" i="69"/>
  <c r="Z41" i="69" s="1"/>
  <c r="N41" i="69"/>
  <c r="L41" i="69"/>
  <c r="J41" i="69"/>
  <c r="B41" i="69"/>
  <c r="Z40" i="69"/>
  <c r="X40" i="69"/>
  <c r="N40" i="69"/>
  <c r="L40" i="69"/>
  <c r="B40" i="69"/>
  <c r="Z39" i="69"/>
  <c r="X39" i="69"/>
  <c r="N39" i="69"/>
  <c r="L39" i="69"/>
  <c r="B39" i="69"/>
  <c r="X38" i="69"/>
  <c r="Z38" i="69" s="1"/>
  <c r="L38" i="69"/>
  <c r="N38" i="69" s="1"/>
  <c r="B38" i="69"/>
  <c r="Z37" i="69"/>
  <c r="X37" i="69"/>
  <c r="N37" i="69"/>
  <c r="L37" i="69"/>
  <c r="B37" i="69"/>
  <c r="X36" i="69"/>
  <c r="Z36" i="69" s="1"/>
  <c r="N36" i="69"/>
  <c r="L36" i="69"/>
  <c r="F36" i="69"/>
  <c r="B36" i="69"/>
  <c r="Z35" i="69"/>
  <c r="X35" i="69"/>
  <c r="N35" i="69"/>
  <c r="L35" i="69"/>
  <c r="J35" i="69"/>
  <c r="B35" i="69"/>
  <c r="X34" i="69"/>
  <c r="Z34" i="69" s="1"/>
  <c r="L34" i="69"/>
  <c r="N34" i="69" s="1"/>
  <c r="B34" i="69"/>
  <c r="Z33" i="69"/>
  <c r="X33" i="69"/>
  <c r="T33" i="69"/>
  <c r="P33" i="69"/>
  <c r="H33" i="69"/>
  <c r="D33" i="69"/>
  <c r="B33" i="69"/>
  <c r="T32" i="69"/>
  <c r="P32" i="69"/>
  <c r="L32" i="69"/>
  <c r="H32" i="69"/>
  <c r="D32" i="69"/>
  <c r="Z28" i="69"/>
  <c r="X28" i="69"/>
  <c r="N28" i="69"/>
  <c r="L28" i="69"/>
  <c r="B28" i="69"/>
  <c r="Z27" i="69"/>
  <c r="X27" i="69"/>
  <c r="N27" i="69"/>
  <c r="L27" i="69"/>
  <c r="B27" i="69"/>
  <c r="Z26" i="69"/>
  <c r="X26" i="69"/>
  <c r="N26" i="69"/>
  <c r="L26" i="69"/>
  <c r="B26" i="69"/>
  <c r="Z25" i="69"/>
  <c r="X25" i="69"/>
  <c r="V25" i="69"/>
  <c r="N25" i="69"/>
  <c r="L25" i="69"/>
  <c r="B25" i="69"/>
  <c r="Z24" i="69"/>
  <c r="X24" i="69"/>
  <c r="N24" i="69"/>
  <c r="L24" i="69"/>
  <c r="B24" i="69"/>
  <c r="Z23" i="69"/>
  <c r="X23" i="69"/>
  <c r="N23" i="69"/>
  <c r="L23" i="69"/>
  <c r="B23" i="69"/>
  <c r="Z22" i="69"/>
  <c r="X22" i="69"/>
  <c r="N22" i="69"/>
  <c r="L22" i="69"/>
  <c r="B22" i="69"/>
  <c r="Z21" i="69"/>
  <c r="X21" i="69"/>
  <c r="N21" i="69"/>
  <c r="L21" i="69"/>
  <c r="B21" i="69"/>
  <c r="Z20" i="69"/>
  <c r="X20" i="69"/>
  <c r="N20" i="69"/>
  <c r="L20" i="69"/>
  <c r="B20" i="69"/>
  <c r="X19" i="69"/>
  <c r="Z19" i="69" s="1"/>
  <c r="L19" i="69"/>
  <c r="N19" i="69" s="1"/>
  <c r="B19" i="69"/>
  <c r="T18" i="69"/>
  <c r="P18" i="69"/>
  <c r="X18" i="69" s="1"/>
  <c r="Z18" i="69" s="1"/>
  <c r="L18" i="69"/>
  <c r="N18" i="69" s="1"/>
  <c r="J18" i="69"/>
  <c r="H18" i="69"/>
  <c r="F18" i="69"/>
  <c r="D18" i="69"/>
  <c r="Z16" i="69"/>
  <c r="P16" i="69"/>
  <c r="X16" i="69" s="1"/>
  <c r="N16" i="69"/>
  <c r="L16" i="69"/>
  <c r="D16" i="69"/>
  <c r="B16" i="69"/>
  <c r="Z15" i="69"/>
  <c r="P15" i="69"/>
  <c r="X15" i="69" s="1"/>
  <c r="N15" i="69"/>
  <c r="D15" i="69"/>
  <c r="L15" i="69" s="1"/>
  <c r="B15" i="69"/>
  <c r="P14" i="69"/>
  <c r="X14" i="69" s="1"/>
  <c r="Z14" i="69" s="1"/>
  <c r="D14" i="69"/>
  <c r="L14" i="69" s="1"/>
  <c r="N14" i="69" s="1"/>
  <c r="B14" i="69"/>
  <c r="X13" i="69"/>
  <c r="Z13" i="69" s="1"/>
  <c r="P13" i="69"/>
  <c r="D13" i="69"/>
  <c r="L13" i="69" s="1"/>
  <c r="N13" i="69" s="1"/>
  <c r="B13" i="69"/>
  <c r="T12" i="69"/>
  <c r="V57" i="69" s="1"/>
  <c r="H12" i="69"/>
  <c r="J76" i="69" s="1"/>
  <c r="D12" i="69"/>
  <c r="F59" i="69" s="1"/>
  <c r="D6" i="69"/>
  <c r="D4" i="69"/>
  <c r="Z75" i="68"/>
  <c r="X75" i="68"/>
  <c r="L75" i="68"/>
  <c r="N75" i="68" s="1"/>
  <c r="J75" i="68"/>
  <c r="P71" i="68"/>
  <c r="D71" i="68"/>
  <c r="L71" i="68" s="1"/>
  <c r="N71" i="68" s="1"/>
  <c r="B71" i="68"/>
  <c r="T70" i="68"/>
  <c r="H70" i="68"/>
  <c r="X68" i="68"/>
  <c r="Z68" i="68" s="1"/>
  <c r="L68" i="68"/>
  <c r="N68" i="68" s="1"/>
  <c r="B68" i="68"/>
  <c r="X67" i="68"/>
  <c r="Z67" i="68" s="1"/>
  <c r="T67" i="68"/>
  <c r="P67" i="68"/>
  <c r="H67" i="68"/>
  <c r="D67" i="68"/>
  <c r="B67" i="68"/>
  <c r="X66" i="68"/>
  <c r="Z66" i="68" s="1"/>
  <c r="L66" i="68"/>
  <c r="N66" i="68" s="1"/>
  <c r="B66" i="68"/>
  <c r="X65" i="68"/>
  <c r="Z65" i="68" s="1"/>
  <c r="N65" i="68"/>
  <c r="L65" i="68"/>
  <c r="J65" i="68"/>
  <c r="B65" i="68"/>
  <c r="X64" i="68"/>
  <c r="Z64" i="68" s="1"/>
  <c r="L64" i="68"/>
  <c r="N64" i="68" s="1"/>
  <c r="B64" i="68"/>
  <c r="Z63" i="68"/>
  <c r="X63" i="68"/>
  <c r="N63" i="68"/>
  <c r="L63" i="68"/>
  <c r="B63" i="68"/>
  <c r="T62" i="68"/>
  <c r="P62" i="68"/>
  <c r="H62" i="68"/>
  <c r="N62" i="68" s="1"/>
  <c r="D62" i="68"/>
  <c r="L62" i="68" s="1"/>
  <c r="B62" i="68"/>
  <c r="X61" i="68"/>
  <c r="Z61" i="68" s="1"/>
  <c r="N61" i="68"/>
  <c r="L61" i="68"/>
  <c r="J61" i="68"/>
  <c r="B61" i="68"/>
  <c r="T60" i="68"/>
  <c r="Z60" i="68" s="1"/>
  <c r="P60" i="68"/>
  <c r="X60" i="68" s="1"/>
  <c r="H60" i="68"/>
  <c r="D60" i="68"/>
  <c r="L60" i="68" s="1"/>
  <c r="B60" i="68"/>
  <c r="Z59" i="68"/>
  <c r="X59" i="68"/>
  <c r="N59" i="68"/>
  <c r="L59" i="68"/>
  <c r="J59" i="68"/>
  <c r="B59" i="68"/>
  <c r="Z58" i="68"/>
  <c r="X58" i="68"/>
  <c r="L58" i="68"/>
  <c r="N58" i="68" s="1"/>
  <c r="B58" i="68"/>
  <c r="T57" i="68"/>
  <c r="P57" i="68"/>
  <c r="N57" i="68"/>
  <c r="H57" i="68"/>
  <c r="D57" i="68"/>
  <c r="L57" i="68" s="1"/>
  <c r="B57" i="68"/>
  <c r="Z56" i="68"/>
  <c r="X56" i="68"/>
  <c r="N56" i="68"/>
  <c r="L56" i="68"/>
  <c r="J56" i="68"/>
  <c r="B56" i="68"/>
  <c r="Z55" i="68"/>
  <c r="T55" i="68"/>
  <c r="P55" i="68"/>
  <c r="X55" i="68" s="1"/>
  <c r="N55" i="68"/>
  <c r="J55" i="68"/>
  <c r="H55" i="68"/>
  <c r="D55" i="68"/>
  <c r="L55" i="68" s="1"/>
  <c r="B55" i="68"/>
  <c r="X54" i="68"/>
  <c r="Z54" i="68" s="1"/>
  <c r="N54" i="68"/>
  <c r="L54" i="68"/>
  <c r="B54" i="68"/>
  <c r="Z53" i="68"/>
  <c r="X53" i="68"/>
  <c r="V53" i="68"/>
  <c r="L53" i="68"/>
  <c r="N53" i="68" s="1"/>
  <c r="J53" i="68"/>
  <c r="B53" i="68"/>
  <c r="X52" i="68"/>
  <c r="Z52" i="68" s="1"/>
  <c r="T52" i="68"/>
  <c r="P52" i="68"/>
  <c r="H52" i="68"/>
  <c r="D52" i="68"/>
  <c r="B52" i="68"/>
  <c r="X51" i="68"/>
  <c r="Z51" i="68" s="1"/>
  <c r="N51" i="68"/>
  <c r="L51" i="68"/>
  <c r="B51" i="68"/>
  <c r="T50" i="68"/>
  <c r="P50" i="68"/>
  <c r="H50" i="68"/>
  <c r="N50" i="68" s="1"/>
  <c r="D50" i="68"/>
  <c r="L50" i="68" s="1"/>
  <c r="B50" i="68"/>
  <c r="X49" i="68"/>
  <c r="Z49" i="68" s="1"/>
  <c r="N49" i="68"/>
  <c r="L49" i="68"/>
  <c r="J49" i="68"/>
  <c r="B49" i="68"/>
  <c r="T48" i="68"/>
  <c r="Z48" i="68" s="1"/>
  <c r="P48" i="68"/>
  <c r="X48" i="68" s="1"/>
  <c r="H48" i="68"/>
  <c r="D48" i="68"/>
  <c r="L48" i="68" s="1"/>
  <c r="B48" i="68"/>
  <c r="Z47" i="68"/>
  <c r="X47" i="68"/>
  <c r="L47" i="68"/>
  <c r="N47" i="68" s="1"/>
  <c r="J47" i="68"/>
  <c r="B47" i="68"/>
  <c r="T46" i="68"/>
  <c r="P46" i="68"/>
  <c r="X46" i="68" s="1"/>
  <c r="L46" i="68"/>
  <c r="N46" i="68" s="1"/>
  <c r="H46" i="68"/>
  <c r="D46" i="68"/>
  <c r="B46" i="68"/>
  <c r="Z45" i="68"/>
  <c r="X45" i="68"/>
  <c r="V45" i="68"/>
  <c r="N45" i="68"/>
  <c r="L45" i="68"/>
  <c r="J45" i="68"/>
  <c r="B45" i="68"/>
  <c r="Z44" i="68"/>
  <c r="X44" i="68"/>
  <c r="N44" i="68"/>
  <c r="L44" i="68"/>
  <c r="J44" i="68"/>
  <c r="B44" i="68"/>
  <c r="Z43" i="68"/>
  <c r="X43" i="68"/>
  <c r="N43" i="68"/>
  <c r="L43" i="68"/>
  <c r="J43" i="68"/>
  <c r="B43" i="68"/>
  <c r="X42" i="68"/>
  <c r="Z42" i="68" s="1"/>
  <c r="L42" i="68"/>
  <c r="N42" i="68" s="1"/>
  <c r="B42" i="68"/>
  <c r="Z41" i="68"/>
  <c r="X41" i="68"/>
  <c r="N41" i="68"/>
  <c r="L41" i="68"/>
  <c r="J41" i="68"/>
  <c r="B41" i="68"/>
  <c r="Z40" i="68"/>
  <c r="X40" i="68"/>
  <c r="N40" i="68"/>
  <c r="L40" i="68"/>
  <c r="B40" i="68"/>
  <c r="Z39" i="68"/>
  <c r="X39" i="68"/>
  <c r="N39" i="68"/>
  <c r="L39" i="68"/>
  <c r="B39" i="68"/>
  <c r="Z38" i="68"/>
  <c r="X38" i="68"/>
  <c r="N38" i="68"/>
  <c r="L38" i="68"/>
  <c r="B38" i="68"/>
  <c r="Z37" i="68"/>
  <c r="X37" i="68"/>
  <c r="V37" i="68"/>
  <c r="L37" i="68"/>
  <c r="N37" i="68" s="1"/>
  <c r="J37" i="68"/>
  <c r="B37" i="68"/>
  <c r="Z36" i="68"/>
  <c r="X36" i="68"/>
  <c r="N36" i="68"/>
  <c r="L36" i="68"/>
  <c r="J36" i="68"/>
  <c r="B36" i="68"/>
  <c r="T35" i="68"/>
  <c r="P35" i="68"/>
  <c r="X35" i="68" s="1"/>
  <c r="Z35" i="68" s="1"/>
  <c r="J35" i="68"/>
  <c r="H35" i="68"/>
  <c r="D35" i="68"/>
  <c r="L35" i="68" s="1"/>
  <c r="N35" i="68" s="1"/>
  <c r="B35" i="68"/>
  <c r="X34" i="68"/>
  <c r="Z34" i="68" s="1"/>
  <c r="N34" i="68"/>
  <c r="L34" i="68"/>
  <c r="B34" i="68"/>
  <c r="Z33" i="68"/>
  <c r="X33" i="68"/>
  <c r="V33" i="68"/>
  <c r="L33" i="68"/>
  <c r="N33" i="68" s="1"/>
  <c r="J33" i="68"/>
  <c r="B33" i="68"/>
  <c r="X32" i="68"/>
  <c r="Z32" i="68" s="1"/>
  <c r="L32" i="68"/>
  <c r="N32" i="68" s="1"/>
  <c r="J32" i="68"/>
  <c r="B32" i="68"/>
  <c r="Z31" i="68"/>
  <c r="X31" i="68"/>
  <c r="N31" i="68"/>
  <c r="L31" i="68"/>
  <c r="J31" i="68"/>
  <c r="B31" i="68"/>
  <c r="Z30" i="68"/>
  <c r="X30" i="68"/>
  <c r="L30" i="68"/>
  <c r="N30" i="68" s="1"/>
  <c r="B30" i="68"/>
  <c r="X29" i="68"/>
  <c r="Z29" i="68" s="1"/>
  <c r="N29" i="68"/>
  <c r="L29" i="68"/>
  <c r="J29" i="68"/>
  <c r="B29" i="68"/>
  <c r="X28" i="68"/>
  <c r="Z28" i="68" s="1"/>
  <c r="L28" i="68"/>
  <c r="N28" i="68" s="1"/>
  <c r="B28" i="68"/>
  <c r="X27" i="68"/>
  <c r="Z27" i="68" s="1"/>
  <c r="N27" i="68"/>
  <c r="L27" i="68"/>
  <c r="B27" i="68"/>
  <c r="X26" i="68"/>
  <c r="Z26" i="68" s="1"/>
  <c r="N26" i="68"/>
  <c r="L26" i="68"/>
  <c r="J26" i="68"/>
  <c r="B26" i="68"/>
  <c r="V25" i="68"/>
  <c r="T25" i="68"/>
  <c r="P25" i="68"/>
  <c r="X25" i="68" s="1"/>
  <c r="Z25" i="68" s="1"/>
  <c r="L25" i="68"/>
  <c r="N25" i="68" s="1"/>
  <c r="J25" i="68"/>
  <c r="H25" i="68"/>
  <c r="D25" i="68"/>
  <c r="B25" i="68"/>
  <c r="T24" i="68"/>
  <c r="P24" i="68"/>
  <c r="X24" i="68" s="1"/>
  <c r="H24" i="68"/>
  <c r="D24" i="68"/>
  <c r="L24" i="68" s="1"/>
  <c r="H22" i="68"/>
  <c r="Z20" i="68"/>
  <c r="X20" i="68"/>
  <c r="N20" i="68"/>
  <c r="L20" i="68"/>
  <c r="B20" i="68"/>
  <c r="Z19" i="68"/>
  <c r="X19" i="68"/>
  <c r="V19" i="68"/>
  <c r="T19" i="68"/>
  <c r="P19" i="68"/>
  <c r="H19" i="68"/>
  <c r="N19" i="68" s="1"/>
  <c r="D19" i="68"/>
  <c r="Z17" i="68"/>
  <c r="X17" i="68"/>
  <c r="P17" i="68"/>
  <c r="N17" i="68"/>
  <c r="L17" i="68"/>
  <c r="D17" i="68"/>
  <c r="B17" i="68"/>
  <c r="Z16" i="68"/>
  <c r="X16" i="68"/>
  <c r="P16" i="68"/>
  <c r="N16" i="68"/>
  <c r="D16" i="68"/>
  <c r="L16" i="68" s="1"/>
  <c r="B16" i="68"/>
  <c r="Z15" i="68"/>
  <c r="P15" i="68"/>
  <c r="N15" i="68"/>
  <c r="D15" i="68"/>
  <c r="L15" i="68" s="1"/>
  <c r="B15" i="68"/>
  <c r="X14" i="68"/>
  <c r="Z14" i="68" s="1"/>
  <c r="P14" i="68"/>
  <c r="N14" i="68"/>
  <c r="L14" i="68"/>
  <c r="D14" i="68"/>
  <c r="B14" i="68"/>
  <c r="P13" i="68"/>
  <c r="X13" i="68" s="1"/>
  <c r="Z13" i="68" s="1"/>
  <c r="L13" i="68"/>
  <c r="N13" i="68" s="1"/>
  <c r="D13" i="68"/>
  <c r="B13" i="68"/>
  <c r="T12" i="68"/>
  <c r="V70" i="68" s="1"/>
  <c r="H12" i="68"/>
  <c r="J68" i="68" s="1"/>
  <c r="D6" i="68"/>
  <c r="D4" i="68"/>
  <c r="X108" i="67"/>
  <c r="Z108" i="67" s="1"/>
  <c r="L108" i="67"/>
  <c r="N108" i="67" s="1"/>
  <c r="Z104" i="67"/>
  <c r="P104" i="67"/>
  <c r="X104" i="67" s="1"/>
  <c r="N104" i="67"/>
  <c r="L104" i="67"/>
  <c r="J104" i="67"/>
  <c r="D104" i="67"/>
  <c r="B104" i="67"/>
  <c r="Z103" i="67"/>
  <c r="P103" i="67"/>
  <c r="X103" i="67" s="1"/>
  <c r="N103" i="67"/>
  <c r="D103" i="67"/>
  <c r="L103" i="67" s="1"/>
  <c r="B103" i="67"/>
  <c r="X102" i="67"/>
  <c r="Z102" i="67" s="1"/>
  <c r="P102" i="67"/>
  <c r="P101" i="67" s="1"/>
  <c r="X101" i="67" s="1"/>
  <c r="N102" i="67"/>
  <c r="D102" i="67"/>
  <c r="B102" i="67"/>
  <c r="V101" i="67"/>
  <c r="T101" i="67"/>
  <c r="N101" i="67"/>
  <c r="H101" i="67"/>
  <c r="Z99" i="67"/>
  <c r="X99" i="67"/>
  <c r="V99" i="67"/>
  <c r="L99" i="67"/>
  <c r="N99" i="67" s="1"/>
  <c r="B99" i="67"/>
  <c r="X98" i="67"/>
  <c r="Z98" i="67" s="1"/>
  <c r="T98" i="67"/>
  <c r="P98" i="67"/>
  <c r="H98" i="67"/>
  <c r="D98" i="67"/>
  <c r="B98" i="67"/>
  <c r="Z97" i="67"/>
  <c r="X97" i="67"/>
  <c r="N97" i="67"/>
  <c r="L97" i="67"/>
  <c r="B97" i="67"/>
  <c r="T96" i="67"/>
  <c r="P96" i="67"/>
  <c r="L96" i="67"/>
  <c r="H96" i="67"/>
  <c r="D96" i="67"/>
  <c r="B96" i="67"/>
  <c r="X95" i="67"/>
  <c r="Z95" i="67" s="1"/>
  <c r="V95" i="67"/>
  <c r="N95" i="67"/>
  <c r="L95" i="67"/>
  <c r="B95" i="67"/>
  <c r="X94" i="67"/>
  <c r="Z94" i="67" s="1"/>
  <c r="L94" i="67"/>
  <c r="N94" i="67" s="1"/>
  <c r="B94" i="67"/>
  <c r="Z93" i="67"/>
  <c r="X93" i="67"/>
  <c r="V93" i="67"/>
  <c r="N93" i="67"/>
  <c r="L93" i="67"/>
  <c r="B93" i="67"/>
  <c r="T92" i="67"/>
  <c r="P92" i="67"/>
  <c r="L92" i="67"/>
  <c r="H92" i="67"/>
  <c r="D92" i="67"/>
  <c r="B92" i="67"/>
  <c r="Z91" i="67"/>
  <c r="X91" i="67"/>
  <c r="V91" i="67"/>
  <c r="N91" i="67"/>
  <c r="L91" i="67"/>
  <c r="B91" i="67"/>
  <c r="X90" i="67"/>
  <c r="Z90" i="67" s="1"/>
  <c r="N90" i="67"/>
  <c r="L90" i="67"/>
  <c r="B90" i="67"/>
  <c r="Z89" i="67"/>
  <c r="X89" i="67"/>
  <c r="V89" i="67"/>
  <c r="T89" i="67"/>
  <c r="P89" i="67"/>
  <c r="H89" i="67"/>
  <c r="N89" i="67" s="1"/>
  <c r="D89" i="67"/>
  <c r="B89" i="67"/>
  <c r="Z88" i="67"/>
  <c r="X88" i="67"/>
  <c r="N88" i="67"/>
  <c r="L88" i="67"/>
  <c r="B88" i="67"/>
  <c r="X87" i="67"/>
  <c r="Z87" i="67" s="1"/>
  <c r="V87" i="67"/>
  <c r="N87" i="67"/>
  <c r="L87" i="67"/>
  <c r="B87" i="67"/>
  <c r="X86" i="67"/>
  <c r="Z86" i="67" s="1"/>
  <c r="L86" i="67"/>
  <c r="N86" i="67" s="1"/>
  <c r="B86" i="67"/>
  <c r="Z85" i="67"/>
  <c r="X85" i="67"/>
  <c r="V85" i="67"/>
  <c r="T85" i="67"/>
  <c r="P85" i="67"/>
  <c r="H85" i="67"/>
  <c r="D85" i="67"/>
  <c r="B85" i="67"/>
  <c r="Z84" i="67"/>
  <c r="X84" i="67"/>
  <c r="N84" i="67"/>
  <c r="L84" i="67"/>
  <c r="B84" i="67"/>
  <c r="Z83" i="67"/>
  <c r="X83" i="67"/>
  <c r="V83" i="67"/>
  <c r="N83" i="67"/>
  <c r="L83" i="67"/>
  <c r="B83" i="67"/>
  <c r="T82" i="67"/>
  <c r="Z82" i="67" s="1"/>
  <c r="P82" i="67"/>
  <c r="X82" i="67" s="1"/>
  <c r="H82" i="67"/>
  <c r="N82" i="67" s="1"/>
  <c r="D82" i="67"/>
  <c r="B82" i="67"/>
  <c r="Z81" i="67"/>
  <c r="X81" i="67"/>
  <c r="N81" i="67"/>
  <c r="L81" i="67"/>
  <c r="J81" i="67"/>
  <c r="B81" i="67"/>
  <c r="T80" i="67"/>
  <c r="P80" i="67"/>
  <c r="X80" i="67" s="1"/>
  <c r="N80" i="67"/>
  <c r="H80" i="67"/>
  <c r="D80" i="67"/>
  <c r="L80" i="67" s="1"/>
  <c r="B80" i="67"/>
  <c r="Z79" i="67"/>
  <c r="X79" i="67"/>
  <c r="V79" i="67"/>
  <c r="L79" i="67"/>
  <c r="N79" i="67" s="1"/>
  <c r="B79" i="67"/>
  <c r="T78" i="67"/>
  <c r="P78" i="67"/>
  <c r="X78" i="67" s="1"/>
  <c r="Z78" i="67" s="1"/>
  <c r="H78" i="67"/>
  <c r="D78" i="67"/>
  <c r="B78" i="67"/>
  <c r="Z77" i="67"/>
  <c r="X77" i="67"/>
  <c r="V77" i="67"/>
  <c r="N77" i="67"/>
  <c r="L77" i="67"/>
  <c r="B77" i="67"/>
  <c r="T76" i="67"/>
  <c r="Z76" i="67" s="1"/>
  <c r="P76" i="67"/>
  <c r="H76" i="67"/>
  <c r="N76" i="67" s="1"/>
  <c r="D76" i="67"/>
  <c r="L76" i="67" s="1"/>
  <c r="B76" i="67"/>
  <c r="Z75" i="67"/>
  <c r="X75" i="67"/>
  <c r="V75" i="67"/>
  <c r="N75" i="67"/>
  <c r="L75" i="67"/>
  <c r="J75" i="67"/>
  <c r="B75" i="67"/>
  <c r="X74" i="67"/>
  <c r="Z74" i="67" s="1"/>
  <c r="L74" i="67"/>
  <c r="N74" i="67" s="1"/>
  <c r="B74" i="67"/>
  <c r="Z73" i="67"/>
  <c r="X73" i="67"/>
  <c r="V73" i="67"/>
  <c r="T73" i="67"/>
  <c r="P73" i="67"/>
  <c r="H73" i="67"/>
  <c r="D73" i="67"/>
  <c r="B73" i="67"/>
  <c r="X72" i="67"/>
  <c r="Z72" i="67" s="1"/>
  <c r="L72" i="67"/>
  <c r="N72" i="67" s="1"/>
  <c r="B72" i="67"/>
  <c r="V71" i="67"/>
  <c r="T71" i="67"/>
  <c r="P71" i="67"/>
  <c r="N71" i="67"/>
  <c r="H71" i="67"/>
  <c r="D71" i="67"/>
  <c r="L71" i="67" s="1"/>
  <c r="B71" i="67"/>
  <c r="Z70" i="67"/>
  <c r="X70" i="67"/>
  <c r="N70" i="67"/>
  <c r="L70" i="67"/>
  <c r="B70" i="67"/>
  <c r="Z69" i="67"/>
  <c r="T69" i="67"/>
  <c r="P69" i="67"/>
  <c r="X69" i="67" s="1"/>
  <c r="N69" i="67"/>
  <c r="H69" i="67"/>
  <c r="D69" i="67"/>
  <c r="L69" i="67" s="1"/>
  <c r="B69" i="67"/>
  <c r="Z68" i="67"/>
  <c r="X68" i="67"/>
  <c r="N68" i="67"/>
  <c r="L68" i="67"/>
  <c r="B68" i="67"/>
  <c r="Z67" i="67"/>
  <c r="V67" i="67"/>
  <c r="T67" i="67"/>
  <c r="P67" i="67"/>
  <c r="X67" i="67" s="1"/>
  <c r="N67" i="67"/>
  <c r="L67" i="67"/>
  <c r="J67" i="67"/>
  <c r="H67" i="67"/>
  <c r="D67" i="67"/>
  <c r="B67" i="67"/>
  <c r="Z66" i="67"/>
  <c r="X66" i="67"/>
  <c r="V66" i="67"/>
  <c r="N66" i="67"/>
  <c r="L66" i="67"/>
  <c r="B66" i="67"/>
  <c r="Z65" i="67"/>
  <c r="X65" i="67"/>
  <c r="V65" i="67"/>
  <c r="T65" i="67"/>
  <c r="P65" i="67"/>
  <c r="H65" i="67"/>
  <c r="N65" i="67" s="1"/>
  <c r="D65" i="67"/>
  <c r="B65" i="67"/>
  <c r="X64" i="67"/>
  <c r="Z64" i="67" s="1"/>
  <c r="L64" i="67"/>
  <c r="N64" i="67" s="1"/>
  <c r="B64" i="67"/>
  <c r="V63" i="67"/>
  <c r="T63" i="67"/>
  <c r="P63" i="67"/>
  <c r="N63" i="67"/>
  <c r="H63" i="67"/>
  <c r="D63" i="67"/>
  <c r="L63" i="67" s="1"/>
  <c r="B63" i="67"/>
  <c r="Z62" i="67"/>
  <c r="X62" i="67"/>
  <c r="N62" i="67"/>
  <c r="L62" i="67"/>
  <c r="B62" i="67"/>
  <c r="Z61" i="67"/>
  <c r="X61" i="67"/>
  <c r="N61" i="67"/>
  <c r="L61" i="67"/>
  <c r="B61" i="67"/>
  <c r="Z60" i="67"/>
  <c r="X60" i="67"/>
  <c r="N60" i="67"/>
  <c r="L60" i="67"/>
  <c r="B60" i="67"/>
  <c r="X59" i="67"/>
  <c r="Z59" i="67" s="1"/>
  <c r="V59" i="67"/>
  <c r="N59" i="67"/>
  <c r="L59" i="67"/>
  <c r="J59" i="67"/>
  <c r="B59" i="67"/>
  <c r="Z58" i="67"/>
  <c r="X58" i="67"/>
  <c r="V58" i="67"/>
  <c r="N58" i="67"/>
  <c r="L58" i="67"/>
  <c r="B58" i="67"/>
  <c r="Z57" i="67"/>
  <c r="X57" i="67"/>
  <c r="V57" i="67"/>
  <c r="N57" i="67"/>
  <c r="L57" i="67"/>
  <c r="B57" i="67"/>
  <c r="X56" i="67"/>
  <c r="Z56" i="67" s="1"/>
  <c r="N56" i="67"/>
  <c r="L56" i="67"/>
  <c r="B56" i="67"/>
  <c r="Z55" i="67"/>
  <c r="X55" i="67"/>
  <c r="V55" i="67"/>
  <c r="N55" i="67"/>
  <c r="L55" i="67"/>
  <c r="J55" i="67"/>
  <c r="B55" i="67"/>
  <c r="X54" i="67"/>
  <c r="Z54" i="67" s="1"/>
  <c r="L54" i="67"/>
  <c r="N54" i="67" s="1"/>
  <c r="B54" i="67"/>
  <c r="Z53" i="67"/>
  <c r="X53" i="67"/>
  <c r="N53" i="67"/>
  <c r="L53" i="67"/>
  <c r="J53" i="67"/>
  <c r="B53" i="67"/>
  <c r="T52" i="67"/>
  <c r="P52" i="67"/>
  <c r="X52" i="67" s="1"/>
  <c r="H52" i="67"/>
  <c r="D52" i="67"/>
  <c r="L52" i="67" s="1"/>
  <c r="N52" i="67" s="1"/>
  <c r="B52" i="67"/>
  <c r="Z51" i="67"/>
  <c r="X51" i="67"/>
  <c r="V51" i="67"/>
  <c r="L51" i="67"/>
  <c r="N51" i="67" s="1"/>
  <c r="J51" i="67"/>
  <c r="B51" i="67"/>
  <c r="X50" i="67"/>
  <c r="Z50" i="67" s="1"/>
  <c r="L50" i="67"/>
  <c r="N50" i="67" s="1"/>
  <c r="B50" i="67"/>
  <c r="Z49" i="67"/>
  <c r="X49" i="67"/>
  <c r="N49" i="67"/>
  <c r="L49" i="67"/>
  <c r="J49" i="67"/>
  <c r="B49" i="67"/>
  <c r="Z48" i="67"/>
  <c r="X48" i="67"/>
  <c r="N48" i="67"/>
  <c r="L48" i="67"/>
  <c r="B48" i="67"/>
  <c r="X47" i="67"/>
  <c r="Z47" i="67" s="1"/>
  <c r="V47" i="67"/>
  <c r="N47" i="67"/>
  <c r="L47" i="67"/>
  <c r="J47" i="67"/>
  <c r="B47" i="67"/>
  <c r="X46" i="67"/>
  <c r="Z46" i="67" s="1"/>
  <c r="V46" i="67"/>
  <c r="L46" i="67"/>
  <c r="N46" i="67" s="1"/>
  <c r="B46" i="67"/>
  <c r="Z45" i="67"/>
  <c r="X45" i="67"/>
  <c r="V45" i="67"/>
  <c r="N45" i="67"/>
  <c r="L45" i="67"/>
  <c r="B45" i="67"/>
  <c r="X44" i="67"/>
  <c r="Z44" i="67" s="1"/>
  <c r="L44" i="67"/>
  <c r="N44" i="67" s="1"/>
  <c r="B44" i="67"/>
  <c r="Z43" i="67"/>
  <c r="X43" i="67"/>
  <c r="V43" i="67"/>
  <c r="L43" i="67"/>
  <c r="N43" i="67" s="1"/>
  <c r="B43" i="67"/>
  <c r="T42" i="67"/>
  <c r="P42" i="67"/>
  <c r="X42" i="67" s="1"/>
  <c r="Z42" i="67" s="1"/>
  <c r="H42" i="67"/>
  <c r="L42" i="67" s="1"/>
  <c r="N42" i="67" s="1"/>
  <c r="D42" i="67"/>
  <c r="B42" i="67"/>
  <c r="X41" i="67"/>
  <c r="Z41" i="67" s="1"/>
  <c r="V41" i="67"/>
  <c r="T41" i="67"/>
  <c r="P41" i="67"/>
  <c r="H41" i="67"/>
  <c r="D41" i="67"/>
  <c r="L41" i="67" s="1"/>
  <c r="Z37" i="67"/>
  <c r="X37" i="67"/>
  <c r="V37" i="67"/>
  <c r="N37" i="67"/>
  <c r="L37" i="67"/>
  <c r="B37" i="67"/>
  <c r="Z36" i="67"/>
  <c r="X36" i="67"/>
  <c r="N36" i="67"/>
  <c r="L36" i="67"/>
  <c r="B36" i="67"/>
  <c r="Z35" i="67"/>
  <c r="X35" i="67"/>
  <c r="V35" i="67"/>
  <c r="N35" i="67"/>
  <c r="L35" i="67"/>
  <c r="J35" i="67"/>
  <c r="B35" i="67"/>
  <c r="Z34" i="67"/>
  <c r="X34" i="67"/>
  <c r="N34" i="67"/>
  <c r="L34" i="67"/>
  <c r="J34" i="67"/>
  <c r="B34" i="67"/>
  <c r="Z33" i="67"/>
  <c r="X33" i="67"/>
  <c r="N33" i="67"/>
  <c r="L33" i="67"/>
  <c r="B33" i="67"/>
  <c r="Z32" i="67"/>
  <c r="X32" i="67"/>
  <c r="N32" i="67"/>
  <c r="L32" i="67"/>
  <c r="B32" i="67"/>
  <c r="Z31" i="67"/>
  <c r="X31" i="67"/>
  <c r="V31" i="67"/>
  <c r="N31" i="67"/>
  <c r="L31" i="67"/>
  <c r="B31" i="67"/>
  <c r="Z30" i="67"/>
  <c r="X30" i="67"/>
  <c r="V30" i="67"/>
  <c r="N30" i="67"/>
  <c r="L30" i="67"/>
  <c r="B30" i="67"/>
  <c r="Z29" i="67"/>
  <c r="X29" i="67"/>
  <c r="V29" i="67"/>
  <c r="N29" i="67"/>
  <c r="L29" i="67"/>
  <c r="B29" i="67"/>
  <c r="Z28" i="67"/>
  <c r="X28" i="67"/>
  <c r="V28" i="67"/>
  <c r="N28" i="67"/>
  <c r="L28" i="67"/>
  <c r="B28" i="67"/>
  <c r="Z27" i="67"/>
  <c r="X27" i="67"/>
  <c r="V27" i="67"/>
  <c r="N27" i="67"/>
  <c r="L27" i="67"/>
  <c r="J27" i="67"/>
  <c r="B27" i="67"/>
  <c r="Z26" i="67"/>
  <c r="X26" i="67"/>
  <c r="N26" i="67"/>
  <c r="L26" i="67"/>
  <c r="J26" i="67"/>
  <c r="B26" i="67"/>
  <c r="Z25" i="67"/>
  <c r="X25" i="67"/>
  <c r="N25" i="67"/>
  <c r="L25" i="67"/>
  <c r="J25" i="67"/>
  <c r="B25" i="67"/>
  <c r="Z24" i="67"/>
  <c r="X24" i="67"/>
  <c r="N24" i="67"/>
  <c r="L24" i="67"/>
  <c r="B24" i="67"/>
  <c r="Z23" i="67"/>
  <c r="X23" i="67"/>
  <c r="V23" i="67"/>
  <c r="N23" i="67"/>
  <c r="L23" i="67"/>
  <c r="B23" i="67"/>
  <c r="Z22" i="67"/>
  <c r="X22" i="67"/>
  <c r="V22" i="67"/>
  <c r="N22" i="67"/>
  <c r="L22" i="67"/>
  <c r="B22" i="67"/>
  <c r="Z21" i="67"/>
  <c r="X21" i="67"/>
  <c r="V21" i="67"/>
  <c r="N21" i="67"/>
  <c r="L21" i="67"/>
  <c r="B21" i="67"/>
  <c r="Z20" i="67"/>
  <c r="X20" i="67"/>
  <c r="V20" i="67"/>
  <c r="N20" i="67"/>
  <c r="L20" i="67"/>
  <c r="B20" i="67"/>
  <c r="Z19" i="67"/>
  <c r="X19" i="67"/>
  <c r="V19" i="67"/>
  <c r="L19" i="67"/>
  <c r="N19" i="67" s="1"/>
  <c r="J19" i="67"/>
  <c r="B19" i="67"/>
  <c r="X18" i="67"/>
  <c r="Z18" i="67" s="1"/>
  <c r="T18" i="67"/>
  <c r="P18" i="67"/>
  <c r="H18" i="67"/>
  <c r="D18" i="67"/>
  <c r="Z16" i="67"/>
  <c r="X16" i="67"/>
  <c r="P16" i="67"/>
  <c r="N16" i="67"/>
  <c r="D16" i="67"/>
  <c r="L16" i="67" s="1"/>
  <c r="B16" i="67"/>
  <c r="Z15" i="67"/>
  <c r="P15" i="67"/>
  <c r="X15" i="67" s="1"/>
  <c r="N15" i="67"/>
  <c r="L15" i="67"/>
  <c r="D15" i="67"/>
  <c r="B15" i="67"/>
  <c r="Z14" i="67"/>
  <c r="P14" i="67"/>
  <c r="X14" i="67" s="1"/>
  <c r="N14" i="67"/>
  <c r="L14" i="67"/>
  <c r="D14" i="67"/>
  <c r="B14" i="67"/>
  <c r="Z13" i="67"/>
  <c r="X13" i="67"/>
  <c r="P13" i="67"/>
  <c r="D13" i="67"/>
  <c r="D12" i="67" s="1"/>
  <c r="B13" i="67"/>
  <c r="T12" i="67"/>
  <c r="V102" i="67" s="1"/>
  <c r="H12" i="67"/>
  <c r="J89" i="67" s="1"/>
  <c r="D6" i="67"/>
  <c r="D4" i="67"/>
  <c r="Z88" i="65"/>
  <c r="X88" i="65"/>
  <c r="L88" i="65"/>
  <c r="N88" i="65" s="1"/>
  <c r="Z84" i="65"/>
  <c r="V84" i="65"/>
  <c r="P84" i="65"/>
  <c r="X84" i="65" s="1"/>
  <c r="N84" i="65"/>
  <c r="D84" i="65"/>
  <c r="L84" i="65" s="1"/>
  <c r="B84" i="65"/>
  <c r="Z83" i="65"/>
  <c r="X83" i="65"/>
  <c r="P83" i="65"/>
  <c r="N83" i="65"/>
  <c r="L83" i="65"/>
  <c r="D83" i="65"/>
  <c r="B83" i="65"/>
  <c r="V82" i="65"/>
  <c r="P82" i="65"/>
  <c r="X82" i="65" s="1"/>
  <c r="Z82" i="65" s="1"/>
  <c r="N82" i="65"/>
  <c r="L82" i="65"/>
  <c r="D82" i="65"/>
  <c r="B82" i="65"/>
  <c r="X81" i="65"/>
  <c r="Z81" i="65" s="1"/>
  <c r="V81" i="65"/>
  <c r="P81" i="65"/>
  <c r="D81" i="65"/>
  <c r="B81" i="65"/>
  <c r="Z80" i="65"/>
  <c r="T80" i="65"/>
  <c r="P80" i="65"/>
  <c r="X80" i="65" s="1"/>
  <c r="H80" i="65"/>
  <c r="Z78" i="65"/>
  <c r="X78" i="65"/>
  <c r="N78" i="65"/>
  <c r="L78" i="65"/>
  <c r="B78" i="65"/>
  <c r="Z77" i="65"/>
  <c r="X77" i="65"/>
  <c r="V77" i="65"/>
  <c r="N77" i="65"/>
  <c r="L77" i="65"/>
  <c r="B77" i="65"/>
  <c r="Z76" i="65"/>
  <c r="X76" i="65"/>
  <c r="T76" i="65"/>
  <c r="P76" i="65"/>
  <c r="H76" i="65"/>
  <c r="D76" i="65"/>
  <c r="L76" i="65" s="1"/>
  <c r="B76" i="65"/>
  <c r="X75" i="65"/>
  <c r="Z75" i="65" s="1"/>
  <c r="N75" i="65"/>
  <c r="L75" i="65"/>
  <c r="B75" i="65"/>
  <c r="X74" i="65"/>
  <c r="Z74" i="65" s="1"/>
  <c r="N74" i="65"/>
  <c r="L74" i="65"/>
  <c r="B74" i="65"/>
  <c r="T73" i="65"/>
  <c r="P73" i="65"/>
  <c r="L73" i="65"/>
  <c r="N73" i="65" s="1"/>
  <c r="H73" i="65"/>
  <c r="D73" i="65"/>
  <c r="B73" i="65"/>
  <c r="Z72" i="65"/>
  <c r="X72" i="65"/>
  <c r="L72" i="65"/>
  <c r="N72" i="65" s="1"/>
  <c r="B72" i="65"/>
  <c r="X71" i="65"/>
  <c r="Z71" i="65" s="1"/>
  <c r="T71" i="65"/>
  <c r="P71" i="65"/>
  <c r="N71" i="65"/>
  <c r="L71" i="65"/>
  <c r="H71" i="65"/>
  <c r="D71" i="65"/>
  <c r="B71" i="65"/>
  <c r="X70" i="65"/>
  <c r="Z70" i="65" s="1"/>
  <c r="V70" i="65"/>
  <c r="N70" i="65"/>
  <c r="L70" i="65"/>
  <c r="B70" i="65"/>
  <c r="Z69" i="65"/>
  <c r="X69" i="65"/>
  <c r="L69" i="65"/>
  <c r="N69" i="65" s="1"/>
  <c r="B69" i="65"/>
  <c r="Z68" i="65"/>
  <c r="X68" i="65"/>
  <c r="N68" i="65"/>
  <c r="L68" i="65"/>
  <c r="B68" i="65"/>
  <c r="X67" i="65"/>
  <c r="Z67" i="65" s="1"/>
  <c r="T67" i="65"/>
  <c r="P67" i="65"/>
  <c r="N67" i="65"/>
  <c r="L67" i="65"/>
  <c r="H67" i="65"/>
  <c r="D67" i="65"/>
  <c r="B67" i="65"/>
  <c r="X66" i="65"/>
  <c r="Z66" i="65" s="1"/>
  <c r="V66" i="65"/>
  <c r="N66" i="65"/>
  <c r="L66" i="65"/>
  <c r="B66" i="65"/>
  <c r="X65" i="65"/>
  <c r="Z65" i="65" s="1"/>
  <c r="T65" i="65"/>
  <c r="P65" i="65"/>
  <c r="H65" i="65"/>
  <c r="N65" i="65" s="1"/>
  <c r="D65" i="65"/>
  <c r="L65" i="65" s="1"/>
  <c r="B65" i="65"/>
  <c r="X64" i="65"/>
  <c r="Z64" i="65" s="1"/>
  <c r="N64" i="65"/>
  <c r="L64" i="65"/>
  <c r="B64" i="65"/>
  <c r="T63" i="65"/>
  <c r="P63" i="65"/>
  <c r="X63" i="65" s="1"/>
  <c r="H63" i="65"/>
  <c r="N63" i="65" s="1"/>
  <c r="D63" i="65"/>
  <c r="L63" i="65" s="1"/>
  <c r="B63" i="65"/>
  <c r="Z62" i="65"/>
  <c r="X62" i="65"/>
  <c r="L62" i="65"/>
  <c r="N62" i="65" s="1"/>
  <c r="B62" i="65"/>
  <c r="T61" i="65"/>
  <c r="Z61" i="65" s="1"/>
  <c r="P61" i="65"/>
  <c r="X61" i="65" s="1"/>
  <c r="L61" i="65"/>
  <c r="N61" i="65" s="1"/>
  <c r="H61" i="65"/>
  <c r="D61" i="65"/>
  <c r="B61" i="65"/>
  <c r="Z60" i="65"/>
  <c r="X60" i="65"/>
  <c r="V60" i="65"/>
  <c r="L60" i="65"/>
  <c r="N60" i="65" s="1"/>
  <c r="B60" i="65"/>
  <c r="X59" i="65"/>
  <c r="Z59" i="65" s="1"/>
  <c r="T59" i="65"/>
  <c r="P59" i="65"/>
  <c r="L59" i="65"/>
  <c r="N59" i="65" s="1"/>
  <c r="H59" i="65"/>
  <c r="D59" i="65"/>
  <c r="B59" i="65"/>
  <c r="X58" i="65"/>
  <c r="Z58" i="65" s="1"/>
  <c r="V58" i="65"/>
  <c r="N58" i="65"/>
  <c r="L58" i="65"/>
  <c r="B58" i="65"/>
  <c r="X57" i="65"/>
  <c r="Z57" i="65" s="1"/>
  <c r="T57" i="65"/>
  <c r="P57" i="65"/>
  <c r="H57" i="65"/>
  <c r="D57" i="65"/>
  <c r="L57" i="65" s="1"/>
  <c r="B57" i="65"/>
  <c r="X56" i="65"/>
  <c r="Z56" i="65" s="1"/>
  <c r="N56" i="65"/>
  <c r="L56" i="65"/>
  <c r="B56" i="65"/>
  <c r="T55" i="65"/>
  <c r="Z55" i="65" s="1"/>
  <c r="P55" i="65"/>
  <c r="X55" i="65" s="1"/>
  <c r="H55" i="65"/>
  <c r="N55" i="65" s="1"/>
  <c r="D55" i="65"/>
  <c r="L55" i="65" s="1"/>
  <c r="B55" i="65"/>
  <c r="Z54" i="65"/>
  <c r="X54" i="65"/>
  <c r="N54" i="65"/>
  <c r="L54" i="65"/>
  <c r="B54" i="65"/>
  <c r="Z53" i="65"/>
  <c r="X53" i="65"/>
  <c r="N53" i="65"/>
  <c r="L53" i="65"/>
  <c r="B53" i="65"/>
  <c r="X52" i="65"/>
  <c r="Z52" i="65" s="1"/>
  <c r="N52" i="65"/>
  <c r="L52" i="65"/>
  <c r="B52" i="65"/>
  <c r="X51" i="65"/>
  <c r="Z51" i="65" s="1"/>
  <c r="V51" i="65"/>
  <c r="N51" i="65"/>
  <c r="L51" i="65"/>
  <c r="B51" i="65"/>
  <c r="Z50" i="65"/>
  <c r="X50" i="65"/>
  <c r="V50" i="65"/>
  <c r="N50" i="65"/>
  <c r="L50" i="65"/>
  <c r="B50" i="65"/>
  <c r="X49" i="65"/>
  <c r="Z49" i="65" s="1"/>
  <c r="L49" i="65"/>
  <c r="N49" i="65" s="1"/>
  <c r="B49" i="65"/>
  <c r="Z48" i="65"/>
  <c r="X48" i="65"/>
  <c r="V48" i="65"/>
  <c r="L48" i="65"/>
  <c r="N48" i="65" s="1"/>
  <c r="B48" i="65"/>
  <c r="Z47" i="65"/>
  <c r="X47" i="65"/>
  <c r="N47" i="65"/>
  <c r="L47" i="65"/>
  <c r="B47" i="65"/>
  <c r="Z46" i="65"/>
  <c r="X46" i="65"/>
  <c r="L46" i="65"/>
  <c r="N46" i="65" s="1"/>
  <c r="B46" i="65"/>
  <c r="Z45" i="65"/>
  <c r="X45" i="65"/>
  <c r="V45" i="65"/>
  <c r="N45" i="65"/>
  <c r="L45" i="65"/>
  <c r="B45" i="65"/>
  <c r="T44" i="65"/>
  <c r="Z44" i="65" s="1"/>
  <c r="P44" i="65"/>
  <c r="X44" i="65" s="1"/>
  <c r="H44" i="65"/>
  <c r="D44" i="65"/>
  <c r="L44" i="65" s="1"/>
  <c r="N44" i="65" s="1"/>
  <c r="B44" i="65"/>
  <c r="X43" i="65"/>
  <c r="Z43" i="65" s="1"/>
  <c r="L43" i="65"/>
  <c r="N43" i="65" s="1"/>
  <c r="B43" i="65"/>
  <c r="Z42" i="65"/>
  <c r="X42" i="65"/>
  <c r="L42" i="65"/>
  <c r="N42" i="65" s="1"/>
  <c r="B42" i="65"/>
  <c r="X41" i="65"/>
  <c r="Z41" i="65" s="1"/>
  <c r="V41" i="65"/>
  <c r="L41" i="65"/>
  <c r="N41" i="65" s="1"/>
  <c r="B41" i="65"/>
  <c r="Z40" i="65"/>
  <c r="X40" i="65"/>
  <c r="V40" i="65"/>
  <c r="N40" i="65"/>
  <c r="L40" i="65"/>
  <c r="B40" i="65"/>
  <c r="Z39" i="65"/>
  <c r="X39" i="65"/>
  <c r="V39" i="65"/>
  <c r="N39" i="65"/>
  <c r="L39" i="65"/>
  <c r="B39" i="65"/>
  <c r="X38" i="65"/>
  <c r="Z38" i="65" s="1"/>
  <c r="V38" i="65"/>
  <c r="N38" i="65"/>
  <c r="L38" i="65"/>
  <c r="B38" i="65"/>
  <c r="X37" i="65"/>
  <c r="Z37" i="65" s="1"/>
  <c r="V37" i="65"/>
  <c r="L37" i="65"/>
  <c r="N37" i="65" s="1"/>
  <c r="B37" i="65"/>
  <c r="Z36" i="65"/>
  <c r="X36" i="65"/>
  <c r="V36" i="65"/>
  <c r="L36" i="65"/>
  <c r="N36" i="65" s="1"/>
  <c r="B36" i="65"/>
  <c r="X35" i="65"/>
  <c r="Z35" i="65" s="1"/>
  <c r="L35" i="65"/>
  <c r="N35" i="65" s="1"/>
  <c r="B35" i="65"/>
  <c r="Z34" i="65"/>
  <c r="X34" i="65"/>
  <c r="L34" i="65"/>
  <c r="N34" i="65" s="1"/>
  <c r="B34" i="65"/>
  <c r="T33" i="65"/>
  <c r="P33" i="65"/>
  <c r="X33" i="65" s="1"/>
  <c r="L33" i="65"/>
  <c r="N33" i="65" s="1"/>
  <c r="H33" i="65"/>
  <c r="D33" i="65"/>
  <c r="B33" i="65"/>
  <c r="V32" i="65"/>
  <c r="T32" i="65"/>
  <c r="P32" i="65"/>
  <c r="X32" i="65" s="1"/>
  <c r="Z32" i="65" s="1"/>
  <c r="L32" i="65"/>
  <c r="H32" i="65"/>
  <c r="N32" i="65" s="1"/>
  <c r="D32" i="65"/>
  <c r="T30" i="65"/>
  <c r="T86" i="65" s="1"/>
  <c r="T90" i="65" s="1"/>
  <c r="Z28" i="65"/>
  <c r="X28" i="65"/>
  <c r="V28" i="65"/>
  <c r="N28" i="65"/>
  <c r="L28" i="65"/>
  <c r="B28" i="65"/>
  <c r="Z27" i="65"/>
  <c r="X27" i="65"/>
  <c r="N27" i="65"/>
  <c r="L27" i="65"/>
  <c r="B27" i="65"/>
  <c r="Z26" i="65"/>
  <c r="X26" i="65"/>
  <c r="N26" i="65"/>
  <c r="L26" i="65"/>
  <c r="B26" i="65"/>
  <c r="Z25" i="65"/>
  <c r="X25" i="65"/>
  <c r="V25" i="65"/>
  <c r="N25" i="65"/>
  <c r="L25" i="65"/>
  <c r="B25" i="65"/>
  <c r="Z24" i="65"/>
  <c r="X24" i="65"/>
  <c r="V24" i="65"/>
  <c r="N24" i="65"/>
  <c r="L24" i="65"/>
  <c r="B24" i="65"/>
  <c r="Z23" i="65"/>
  <c r="X23" i="65"/>
  <c r="V23" i="65"/>
  <c r="N23" i="65"/>
  <c r="L23" i="65"/>
  <c r="B23" i="65"/>
  <c r="Z22" i="65"/>
  <c r="X22" i="65"/>
  <c r="V22" i="65"/>
  <c r="N22" i="65"/>
  <c r="L22" i="65"/>
  <c r="B22" i="65"/>
  <c r="Z21" i="65"/>
  <c r="X21" i="65"/>
  <c r="V21" i="65"/>
  <c r="N21" i="65"/>
  <c r="L21" i="65"/>
  <c r="B21" i="65"/>
  <c r="Z20" i="65"/>
  <c r="X20" i="65"/>
  <c r="V20" i="65"/>
  <c r="N20" i="65"/>
  <c r="L20" i="65"/>
  <c r="B20" i="65"/>
  <c r="X19" i="65"/>
  <c r="Z19" i="65" s="1"/>
  <c r="N19" i="65"/>
  <c r="L19" i="65"/>
  <c r="B19" i="65"/>
  <c r="T18" i="65"/>
  <c r="P18" i="65"/>
  <c r="X18" i="65" s="1"/>
  <c r="Z18" i="65" s="1"/>
  <c r="N18" i="65"/>
  <c r="L18" i="65"/>
  <c r="H18" i="65"/>
  <c r="D18" i="65"/>
  <c r="Z16" i="65"/>
  <c r="X16" i="65"/>
  <c r="P16" i="65"/>
  <c r="N16" i="65"/>
  <c r="L16" i="65"/>
  <c r="D16" i="65"/>
  <c r="B16" i="65"/>
  <c r="Z15" i="65"/>
  <c r="P15" i="65"/>
  <c r="P12" i="65" s="1"/>
  <c r="N15" i="65"/>
  <c r="D15" i="65"/>
  <c r="L15" i="65" s="1"/>
  <c r="B15" i="65"/>
  <c r="Z14" i="65"/>
  <c r="X14" i="65"/>
  <c r="P14" i="65"/>
  <c r="N14" i="65"/>
  <c r="L14" i="65"/>
  <c r="D14" i="65"/>
  <c r="B14" i="65"/>
  <c r="P13" i="65"/>
  <c r="X13" i="65" s="1"/>
  <c r="Z13" i="65" s="1"/>
  <c r="D13" i="65"/>
  <c r="L13" i="65" s="1"/>
  <c r="N13" i="65" s="1"/>
  <c r="B13" i="65"/>
  <c r="T12" i="65"/>
  <c r="V75" i="65" s="1"/>
  <c r="H12" i="65"/>
  <c r="J75" i="65" s="1"/>
  <c r="D6" i="65"/>
  <c r="D4" i="65"/>
  <c r="V38" i="64"/>
  <c r="R38" i="64"/>
  <c r="V35" i="64"/>
  <c r="Z33" i="64"/>
  <c r="X33" i="64"/>
  <c r="V33" i="64"/>
  <c r="R33" i="64"/>
  <c r="N33" i="64"/>
  <c r="L33" i="64"/>
  <c r="V31" i="64"/>
  <c r="R31" i="64"/>
  <c r="Z29" i="64"/>
  <c r="X29" i="64"/>
  <c r="V29" i="64"/>
  <c r="T29" i="64"/>
  <c r="P29" i="64"/>
  <c r="L29" i="64"/>
  <c r="H29" i="64"/>
  <c r="N29" i="64" s="1"/>
  <c r="D29" i="64"/>
  <c r="Z27" i="64"/>
  <c r="X27" i="64"/>
  <c r="V27" i="64"/>
  <c r="R27" i="64"/>
  <c r="N27" i="64"/>
  <c r="L27" i="64"/>
  <c r="B27" i="64"/>
  <c r="V26" i="64"/>
  <c r="T26" i="64"/>
  <c r="Z26" i="64" s="1"/>
  <c r="R26" i="64"/>
  <c r="P26" i="64"/>
  <c r="H26" i="64"/>
  <c r="N26" i="64" s="1"/>
  <c r="D26" i="64"/>
  <c r="L26" i="64" s="1"/>
  <c r="B26" i="64"/>
  <c r="Z25" i="64"/>
  <c r="X25" i="64"/>
  <c r="R25" i="64"/>
  <c r="N25" i="64"/>
  <c r="L25" i="64"/>
  <c r="J25" i="64"/>
  <c r="B25" i="64"/>
  <c r="Z24" i="64"/>
  <c r="X24" i="64"/>
  <c r="V24" i="64"/>
  <c r="R24" i="64"/>
  <c r="N24" i="64"/>
  <c r="L24" i="64"/>
  <c r="B24" i="64"/>
  <c r="V23" i="64"/>
  <c r="T23" i="64"/>
  <c r="Z23" i="64" s="1"/>
  <c r="R23" i="64"/>
  <c r="P23" i="64"/>
  <c r="N23" i="64"/>
  <c r="H23" i="64"/>
  <c r="D23" i="64"/>
  <c r="L23" i="64" s="1"/>
  <c r="B23" i="64"/>
  <c r="Z22" i="64"/>
  <c r="X22" i="64"/>
  <c r="N22" i="64"/>
  <c r="L22" i="64"/>
  <c r="B22" i="64"/>
  <c r="Z21" i="64"/>
  <c r="T21" i="64"/>
  <c r="R21" i="64"/>
  <c r="P21" i="64"/>
  <c r="X21" i="64" s="1"/>
  <c r="N21" i="64"/>
  <c r="L21" i="64"/>
  <c r="H21" i="64"/>
  <c r="D21" i="64"/>
  <c r="B21" i="64"/>
  <c r="X20" i="64"/>
  <c r="Z20" i="64" s="1"/>
  <c r="V20" i="64"/>
  <c r="R20" i="64"/>
  <c r="N20" i="64"/>
  <c r="L20" i="64"/>
  <c r="B20" i="64"/>
  <c r="Z19" i="64"/>
  <c r="X19" i="64"/>
  <c r="V19" i="64"/>
  <c r="T19" i="64"/>
  <c r="P19" i="64"/>
  <c r="L19" i="64"/>
  <c r="H19" i="64"/>
  <c r="N19" i="64" s="1"/>
  <c r="D19" i="64"/>
  <c r="B19" i="64"/>
  <c r="V18" i="64"/>
  <c r="T18" i="64"/>
  <c r="R18" i="64"/>
  <c r="P18" i="64"/>
  <c r="H18" i="64"/>
  <c r="D18" i="64"/>
  <c r="L18" i="64" s="1"/>
  <c r="R16" i="64"/>
  <c r="V14" i="64"/>
  <c r="T14" i="64"/>
  <c r="Z14" i="64" s="1"/>
  <c r="R14" i="64"/>
  <c r="P14" i="64"/>
  <c r="P16" i="64" s="1"/>
  <c r="H14" i="64"/>
  <c r="N14" i="64" s="1"/>
  <c r="D14" i="64"/>
  <c r="L14" i="64" s="1"/>
  <c r="Z12" i="64"/>
  <c r="X12" i="64"/>
  <c r="T12" i="64"/>
  <c r="V22" i="64" s="1"/>
  <c r="P12" i="64"/>
  <c r="R35" i="64" s="1"/>
  <c r="H12" i="64"/>
  <c r="J29" i="64" s="1"/>
  <c r="D12" i="64"/>
  <c r="D6" i="64"/>
  <c r="D4" i="64"/>
  <c r="X84" i="63"/>
  <c r="Z84" i="63" s="1"/>
  <c r="N84" i="63"/>
  <c r="L84" i="63"/>
  <c r="Z80" i="63"/>
  <c r="X80" i="63"/>
  <c r="T80" i="63"/>
  <c r="P80" i="63"/>
  <c r="H80" i="63"/>
  <c r="N80" i="63" s="1"/>
  <c r="D80" i="63"/>
  <c r="X78" i="63"/>
  <c r="Z78" i="63" s="1"/>
  <c r="L78" i="63"/>
  <c r="N78" i="63" s="1"/>
  <c r="B78" i="63"/>
  <c r="T77" i="63"/>
  <c r="P77" i="63"/>
  <c r="X77" i="63" s="1"/>
  <c r="H77" i="63"/>
  <c r="D77" i="63"/>
  <c r="L77" i="63" s="1"/>
  <c r="N77" i="63" s="1"/>
  <c r="B77" i="63"/>
  <c r="X76" i="63"/>
  <c r="Z76" i="63" s="1"/>
  <c r="N76" i="63"/>
  <c r="L76" i="63"/>
  <c r="B76" i="63"/>
  <c r="Z75" i="63"/>
  <c r="X75" i="63"/>
  <c r="L75" i="63"/>
  <c r="N75" i="63" s="1"/>
  <c r="B75" i="63"/>
  <c r="Z74" i="63"/>
  <c r="X74" i="63"/>
  <c r="L74" i="63"/>
  <c r="N74" i="63" s="1"/>
  <c r="B74" i="63"/>
  <c r="T73" i="63"/>
  <c r="P73" i="63"/>
  <c r="H73" i="63"/>
  <c r="D73" i="63"/>
  <c r="L73" i="63" s="1"/>
  <c r="N73" i="63" s="1"/>
  <c r="B73" i="63"/>
  <c r="Z72" i="63"/>
  <c r="X72" i="63"/>
  <c r="N72" i="63"/>
  <c r="L72" i="63"/>
  <c r="B72" i="63"/>
  <c r="Z71" i="63"/>
  <c r="X71" i="63"/>
  <c r="N71" i="63"/>
  <c r="L71" i="63"/>
  <c r="B71" i="63"/>
  <c r="T70" i="63"/>
  <c r="Z70" i="63" s="1"/>
  <c r="P70" i="63"/>
  <c r="X70" i="63" s="1"/>
  <c r="N70" i="63"/>
  <c r="L70" i="63"/>
  <c r="H70" i="63"/>
  <c r="D70" i="63"/>
  <c r="B70" i="63"/>
  <c r="Z69" i="63"/>
  <c r="X69" i="63"/>
  <c r="N69" i="63"/>
  <c r="L69" i="63"/>
  <c r="B69" i="63"/>
  <c r="Z68" i="63"/>
  <c r="X68" i="63"/>
  <c r="N68" i="63"/>
  <c r="L68" i="63"/>
  <c r="B68" i="63"/>
  <c r="Z67" i="63"/>
  <c r="T67" i="63"/>
  <c r="P67" i="63"/>
  <c r="X67" i="63" s="1"/>
  <c r="N67" i="63"/>
  <c r="L67" i="63"/>
  <c r="H67" i="63"/>
  <c r="D67" i="63"/>
  <c r="B67" i="63"/>
  <c r="X66" i="63"/>
  <c r="Z66" i="63" s="1"/>
  <c r="N66" i="63"/>
  <c r="L66" i="63"/>
  <c r="B66" i="63"/>
  <c r="Z65" i="63"/>
  <c r="X65" i="63"/>
  <c r="V65" i="63"/>
  <c r="T65" i="63"/>
  <c r="P65" i="63"/>
  <c r="L65" i="63"/>
  <c r="H65" i="63"/>
  <c r="N65" i="63" s="1"/>
  <c r="D65" i="63"/>
  <c r="B65" i="63"/>
  <c r="Z64" i="63"/>
  <c r="X64" i="63"/>
  <c r="V64" i="63"/>
  <c r="N64" i="63"/>
  <c r="L64" i="63"/>
  <c r="B64" i="63"/>
  <c r="X63" i="63"/>
  <c r="V63" i="63"/>
  <c r="T63" i="63"/>
  <c r="Z63" i="63" s="1"/>
  <c r="P63" i="63"/>
  <c r="H63" i="63"/>
  <c r="N63" i="63" s="1"/>
  <c r="D63" i="63"/>
  <c r="L63" i="63" s="1"/>
  <c r="B63" i="63"/>
  <c r="Z62" i="63"/>
  <c r="X62" i="63"/>
  <c r="N62" i="63"/>
  <c r="L62" i="63"/>
  <c r="B62" i="63"/>
  <c r="T61" i="63"/>
  <c r="Z61" i="63" s="1"/>
  <c r="P61" i="63"/>
  <c r="N61" i="63"/>
  <c r="H61" i="63"/>
  <c r="D61" i="63"/>
  <c r="L61" i="63" s="1"/>
  <c r="B61" i="63"/>
  <c r="Z60" i="63"/>
  <c r="X60" i="63"/>
  <c r="N60" i="63"/>
  <c r="L60" i="63"/>
  <c r="B60" i="63"/>
  <c r="Z59" i="63"/>
  <c r="X59" i="63"/>
  <c r="N59" i="63"/>
  <c r="L59" i="63"/>
  <c r="B59" i="63"/>
  <c r="T58" i="63"/>
  <c r="Z58" i="63" s="1"/>
  <c r="P58" i="63"/>
  <c r="X58" i="63" s="1"/>
  <c r="N58" i="63"/>
  <c r="L58" i="63"/>
  <c r="H58" i="63"/>
  <c r="D58" i="63"/>
  <c r="B58" i="63"/>
  <c r="Z57" i="63"/>
  <c r="X57" i="63"/>
  <c r="V57" i="63"/>
  <c r="L57" i="63"/>
  <c r="N57" i="63" s="1"/>
  <c r="B57" i="63"/>
  <c r="X56" i="63"/>
  <c r="Z56" i="63" s="1"/>
  <c r="T56" i="63"/>
  <c r="P56" i="63"/>
  <c r="L56" i="63"/>
  <c r="N56" i="63" s="1"/>
  <c r="H56" i="63"/>
  <c r="D56" i="63"/>
  <c r="B56" i="63"/>
  <c r="X55" i="63"/>
  <c r="Z55" i="63" s="1"/>
  <c r="V55" i="63"/>
  <c r="N55" i="63"/>
  <c r="L55" i="63"/>
  <c r="B55" i="63"/>
  <c r="X54" i="63"/>
  <c r="Z54" i="63" s="1"/>
  <c r="T54" i="63"/>
  <c r="P54" i="63"/>
  <c r="H54" i="63"/>
  <c r="D54" i="63"/>
  <c r="L54" i="63" s="1"/>
  <c r="B54" i="63"/>
  <c r="X53" i="63"/>
  <c r="Z53" i="63" s="1"/>
  <c r="N53" i="63"/>
  <c r="L53" i="63"/>
  <c r="B53" i="63"/>
  <c r="T52" i="63"/>
  <c r="P52" i="63"/>
  <c r="X52" i="63" s="1"/>
  <c r="H52" i="63"/>
  <c r="D52" i="63"/>
  <c r="L52" i="63" s="1"/>
  <c r="B52" i="63"/>
  <c r="Z51" i="63"/>
  <c r="X51" i="63"/>
  <c r="N51" i="63"/>
  <c r="L51" i="63"/>
  <c r="B51" i="63"/>
  <c r="Z50" i="63"/>
  <c r="X50" i="63"/>
  <c r="N50" i="63"/>
  <c r="L50" i="63"/>
  <c r="B50" i="63"/>
  <c r="X49" i="63"/>
  <c r="Z49" i="63" s="1"/>
  <c r="N49" i="63"/>
  <c r="L49" i="63"/>
  <c r="B49" i="63"/>
  <c r="X48" i="63"/>
  <c r="Z48" i="63" s="1"/>
  <c r="V48" i="63"/>
  <c r="N48" i="63"/>
  <c r="L48" i="63"/>
  <c r="B48" i="63"/>
  <c r="Z47" i="63"/>
  <c r="X47" i="63"/>
  <c r="V47" i="63"/>
  <c r="N47" i="63"/>
  <c r="L47" i="63"/>
  <c r="B47" i="63"/>
  <c r="Z46" i="63"/>
  <c r="X46" i="63"/>
  <c r="V46" i="63"/>
  <c r="N46" i="63"/>
  <c r="L46" i="63"/>
  <c r="B46" i="63"/>
  <c r="Z45" i="63"/>
  <c r="X45" i="63"/>
  <c r="V45" i="63"/>
  <c r="L45" i="63"/>
  <c r="N45" i="63" s="1"/>
  <c r="B45" i="63"/>
  <c r="Z44" i="63"/>
  <c r="X44" i="63"/>
  <c r="N44" i="63"/>
  <c r="L44" i="63"/>
  <c r="B44" i="63"/>
  <c r="Z43" i="63"/>
  <c r="X43" i="63"/>
  <c r="N43" i="63"/>
  <c r="L43" i="63"/>
  <c r="B43" i="63"/>
  <c r="Z42" i="63"/>
  <c r="X42" i="63"/>
  <c r="V42" i="63"/>
  <c r="N42" i="63"/>
  <c r="L42" i="63"/>
  <c r="B42" i="63"/>
  <c r="T41" i="63"/>
  <c r="P41" i="63"/>
  <c r="X41" i="63" s="1"/>
  <c r="H41" i="63"/>
  <c r="D41" i="63"/>
  <c r="L41" i="63" s="1"/>
  <c r="N41" i="63" s="1"/>
  <c r="B41" i="63"/>
  <c r="X40" i="63"/>
  <c r="Z40" i="63" s="1"/>
  <c r="N40" i="63"/>
  <c r="L40" i="63"/>
  <c r="B40" i="63"/>
  <c r="Z39" i="63"/>
  <c r="X39" i="63"/>
  <c r="N39" i="63"/>
  <c r="L39" i="63"/>
  <c r="B39" i="63"/>
  <c r="Z38" i="63"/>
  <c r="X38" i="63"/>
  <c r="V38" i="63"/>
  <c r="N38" i="63"/>
  <c r="L38" i="63"/>
  <c r="B38" i="63"/>
  <c r="Z37" i="63"/>
  <c r="X37" i="63"/>
  <c r="V37" i="63"/>
  <c r="N37" i="63"/>
  <c r="L37" i="63"/>
  <c r="B37" i="63"/>
  <c r="Z36" i="63"/>
  <c r="X36" i="63"/>
  <c r="V36" i="63"/>
  <c r="L36" i="63"/>
  <c r="N36" i="63" s="1"/>
  <c r="B36" i="63"/>
  <c r="Z35" i="63"/>
  <c r="X35" i="63"/>
  <c r="V35" i="63"/>
  <c r="N35" i="63"/>
  <c r="L35" i="63"/>
  <c r="B35" i="63"/>
  <c r="Z34" i="63"/>
  <c r="X34" i="63"/>
  <c r="V34" i="63"/>
  <c r="N34" i="63"/>
  <c r="L34" i="63"/>
  <c r="B34" i="63"/>
  <c r="Z33" i="63"/>
  <c r="X33" i="63"/>
  <c r="V33" i="63"/>
  <c r="L33" i="63"/>
  <c r="N33" i="63" s="1"/>
  <c r="B33" i="63"/>
  <c r="X32" i="63"/>
  <c r="Z32" i="63" s="1"/>
  <c r="T32" i="63"/>
  <c r="P32" i="63"/>
  <c r="H32" i="63"/>
  <c r="L32" i="63" s="1"/>
  <c r="N32" i="63" s="1"/>
  <c r="D32" i="63"/>
  <c r="B32" i="63"/>
  <c r="X31" i="63"/>
  <c r="V31" i="63"/>
  <c r="T31" i="63"/>
  <c r="P31" i="63"/>
  <c r="H31" i="63"/>
  <c r="D31" i="63"/>
  <c r="L31" i="63" s="1"/>
  <c r="T29" i="63"/>
  <c r="T82" i="63" s="1"/>
  <c r="Z27" i="63"/>
  <c r="X27" i="63"/>
  <c r="V27" i="63"/>
  <c r="N27" i="63"/>
  <c r="L27" i="63"/>
  <c r="B27" i="63"/>
  <c r="Z26" i="63"/>
  <c r="X26" i="63"/>
  <c r="V26" i="63"/>
  <c r="N26" i="63"/>
  <c r="L26" i="63"/>
  <c r="B26" i="63"/>
  <c r="Z25" i="63"/>
  <c r="X25" i="63"/>
  <c r="V25" i="63"/>
  <c r="N25" i="63"/>
  <c r="L25" i="63"/>
  <c r="B25" i="63"/>
  <c r="Z24" i="63"/>
  <c r="X24" i="63"/>
  <c r="N24" i="63"/>
  <c r="L24" i="63"/>
  <c r="B24" i="63"/>
  <c r="Z23" i="63"/>
  <c r="X23" i="63"/>
  <c r="N23" i="63"/>
  <c r="L23" i="63"/>
  <c r="B23" i="63"/>
  <c r="Z22" i="63"/>
  <c r="X22" i="63"/>
  <c r="V22" i="63"/>
  <c r="N22" i="63"/>
  <c r="L22" i="63"/>
  <c r="B22" i="63"/>
  <c r="Z21" i="63"/>
  <c r="X21" i="63"/>
  <c r="V21" i="63"/>
  <c r="N21" i="63"/>
  <c r="L21" i="63"/>
  <c r="B21" i="63"/>
  <c r="Z20" i="63"/>
  <c r="X20" i="63"/>
  <c r="V20" i="63"/>
  <c r="N20" i="63"/>
  <c r="L20" i="63"/>
  <c r="B20" i="63"/>
  <c r="Z19" i="63"/>
  <c r="X19" i="63"/>
  <c r="V19" i="63"/>
  <c r="N19" i="63"/>
  <c r="L19" i="63"/>
  <c r="B19" i="63"/>
  <c r="X18" i="63"/>
  <c r="Z18" i="63" s="1"/>
  <c r="V18" i="63"/>
  <c r="N18" i="63"/>
  <c r="L18" i="63"/>
  <c r="B18" i="63"/>
  <c r="X17" i="63"/>
  <c r="Z17" i="63" s="1"/>
  <c r="V17" i="63"/>
  <c r="T17" i="63"/>
  <c r="P17" i="63"/>
  <c r="H17" i="63"/>
  <c r="D17" i="63"/>
  <c r="Z15" i="63"/>
  <c r="X15" i="63"/>
  <c r="P15" i="63"/>
  <c r="N15" i="63"/>
  <c r="D15" i="63"/>
  <c r="L15" i="63" s="1"/>
  <c r="B15" i="63"/>
  <c r="P14" i="63"/>
  <c r="L14" i="63"/>
  <c r="N14" i="63" s="1"/>
  <c r="D14" i="63"/>
  <c r="B14" i="63"/>
  <c r="Z13" i="63"/>
  <c r="X13" i="63"/>
  <c r="P13" i="63"/>
  <c r="D13" i="63"/>
  <c r="B13" i="63"/>
  <c r="T12" i="63"/>
  <c r="V76" i="63" s="1"/>
  <c r="H12" i="63"/>
  <c r="J43" i="63" s="1"/>
  <c r="D6" i="63"/>
  <c r="D4" i="63"/>
  <c r="Z98" i="62"/>
  <c r="X98" i="62"/>
  <c r="N98" i="62"/>
  <c r="L98" i="62"/>
  <c r="V96" i="62"/>
  <c r="X94" i="62"/>
  <c r="Z94" i="62" s="1"/>
  <c r="P94" i="62"/>
  <c r="N94" i="62"/>
  <c r="D94" i="62"/>
  <c r="B94" i="62"/>
  <c r="Z93" i="62"/>
  <c r="P93" i="62"/>
  <c r="X93" i="62" s="1"/>
  <c r="L93" i="62"/>
  <c r="N93" i="62" s="1"/>
  <c r="F93" i="62"/>
  <c r="D93" i="62"/>
  <c r="B93" i="62"/>
  <c r="T92" i="62"/>
  <c r="P92" i="62"/>
  <c r="X92" i="62" s="1"/>
  <c r="H92" i="62"/>
  <c r="X90" i="62"/>
  <c r="Z90" i="62" s="1"/>
  <c r="L90" i="62"/>
  <c r="N90" i="62" s="1"/>
  <c r="B90" i="62"/>
  <c r="T89" i="62"/>
  <c r="R89" i="62"/>
  <c r="P89" i="62"/>
  <c r="N89" i="62"/>
  <c r="L89" i="62"/>
  <c r="H89" i="62"/>
  <c r="D89" i="62"/>
  <c r="B89" i="62"/>
  <c r="Z88" i="62"/>
  <c r="X88" i="62"/>
  <c r="V88" i="62"/>
  <c r="L88" i="62"/>
  <c r="N88" i="62" s="1"/>
  <c r="B88" i="62"/>
  <c r="V87" i="62"/>
  <c r="T87" i="62"/>
  <c r="P87" i="62"/>
  <c r="X87" i="62" s="1"/>
  <c r="Z87" i="62" s="1"/>
  <c r="H87" i="62"/>
  <c r="D87" i="62"/>
  <c r="B87" i="62"/>
  <c r="Z86" i="62"/>
  <c r="X86" i="62"/>
  <c r="N86" i="62"/>
  <c r="L86" i="62"/>
  <c r="B86" i="62"/>
  <c r="Z85" i="62"/>
  <c r="X85" i="62"/>
  <c r="T85" i="62"/>
  <c r="P85" i="62"/>
  <c r="H85" i="62"/>
  <c r="N85" i="62" s="1"/>
  <c r="D85" i="62"/>
  <c r="L85" i="62" s="1"/>
  <c r="B85" i="62"/>
  <c r="Z84" i="62"/>
  <c r="X84" i="62"/>
  <c r="R84" i="62"/>
  <c r="N84" i="62"/>
  <c r="L84" i="62"/>
  <c r="B84" i="62"/>
  <c r="T83" i="62"/>
  <c r="P83" i="62"/>
  <c r="H83" i="62"/>
  <c r="D83" i="62"/>
  <c r="L83" i="62" s="1"/>
  <c r="N83" i="62" s="1"/>
  <c r="B83" i="62"/>
  <c r="Z82" i="62"/>
  <c r="X82" i="62"/>
  <c r="L82" i="62"/>
  <c r="N82" i="62" s="1"/>
  <c r="B82" i="62"/>
  <c r="Z81" i="62"/>
  <c r="X81" i="62"/>
  <c r="N81" i="62"/>
  <c r="L81" i="62"/>
  <c r="B81" i="62"/>
  <c r="Z80" i="62"/>
  <c r="X80" i="62"/>
  <c r="N80" i="62"/>
  <c r="L80" i="62"/>
  <c r="F80" i="62"/>
  <c r="B80" i="62"/>
  <c r="Z79" i="62"/>
  <c r="X79" i="62"/>
  <c r="N79" i="62"/>
  <c r="L79" i="62"/>
  <c r="B79" i="62"/>
  <c r="Z78" i="62"/>
  <c r="X78" i="62"/>
  <c r="L78" i="62"/>
  <c r="N78" i="62" s="1"/>
  <c r="B78" i="62"/>
  <c r="X77" i="62"/>
  <c r="Z77" i="62" s="1"/>
  <c r="N77" i="62"/>
  <c r="L77" i="62"/>
  <c r="B77" i="62"/>
  <c r="X76" i="62"/>
  <c r="T76" i="62"/>
  <c r="Z76" i="62" s="1"/>
  <c r="P76" i="62"/>
  <c r="L76" i="62"/>
  <c r="N76" i="62" s="1"/>
  <c r="H76" i="62"/>
  <c r="F76" i="62"/>
  <c r="D76" i="62"/>
  <c r="B76" i="62"/>
  <c r="X75" i="62"/>
  <c r="Z75" i="62" s="1"/>
  <c r="N75" i="62"/>
  <c r="L75" i="62"/>
  <c r="B75" i="62"/>
  <c r="T74" i="62"/>
  <c r="R74" i="62"/>
  <c r="P74" i="62"/>
  <c r="H74" i="62"/>
  <c r="N74" i="62" s="1"/>
  <c r="D74" i="62"/>
  <c r="L74" i="62" s="1"/>
  <c r="B74" i="62"/>
  <c r="Z73" i="62"/>
  <c r="X73" i="62"/>
  <c r="N73" i="62"/>
  <c r="L73" i="62"/>
  <c r="B73" i="62"/>
  <c r="X72" i="62"/>
  <c r="Z72" i="62" s="1"/>
  <c r="V72" i="62"/>
  <c r="N72" i="62"/>
  <c r="L72" i="62"/>
  <c r="B72" i="62"/>
  <c r="X71" i="62"/>
  <c r="V71" i="62"/>
  <c r="T71" i="62"/>
  <c r="R71" i="62"/>
  <c r="P71" i="62"/>
  <c r="H71" i="62"/>
  <c r="N71" i="62" s="1"/>
  <c r="D71" i="62"/>
  <c r="L71" i="62" s="1"/>
  <c r="B71" i="62"/>
  <c r="Z70" i="62"/>
  <c r="X70" i="62"/>
  <c r="N70" i="62"/>
  <c r="L70" i="62"/>
  <c r="B70" i="62"/>
  <c r="Z69" i="62"/>
  <c r="X69" i="62"/>
  <c r="R69" i="62"/>
  <c r="N69" i="62"/>
  <c r="L69" i="62"/>
  <c r="B69" i="62"/>
  <c r="Z68" i="62"/>
  <c r="X68" i="62"/>
  <c r="V68" i="62"/>
  <c r="L68" i="62"/>
  <c r="N68" i="62" s="1"/>
  <c r="B68" i="62"/>
  <c r="X67" i="62"/>
  <c r="Z67" i="62" s="1"/>
  <c r="N67" i="62"/>
  <c r="L67" i="62"/>
  <c r="F67" i="62"/>
  <c r="B67" i="62"/>
  <c r="T66" i="62"/>
  <c r="P66" i="62"/>
  <c r="X66" i="62" s="1"/>
  <c r="Z66" i="62" s="1"/>
  <c r="N66" i="62"/>
  <c r="H66" i="62"/>
  <c r="D66" i="62"/>
  <c r="L66" i="62" s="1"/>
  <c r="B66" i="62"/>
  <c r="X65" i="62"/>
  <c r="Z65" i="62" s="1"/>
  <c r="R65" i="62"/>
  <c r="N65" i="62"/>
  <c r="L65" i="62"/>
  <c r="B65" i="62"/>
  <c r="V64" i="62"/>
  <c r="T64" i="62"/>
  <c r="P64" i="62"/>
  <c r="X64" i="62" s="1"/>
  <c r="Z64" i="62" s="1"/>
  <c r="L64" i="62"/>
  <c r="H64" i="62"/>
  <c r="N64" i="62" s="1"/>
  <c r="F64" i="62"/>
  <c r="D64" i="62"/>
  <c r="B64" i="62"/>
  <c r="Z63" i="62"/>
  <c r="X63" i="62"/>
  <c r="V63" i="62"/>
  <c r="R63" i="62"/>
  <c r="L63" i="62"/>
  <c r="N63" i="62" s="1"/>
  <c r="B63" i="62"/>
  <c r="X62" i="62"/>
  <c r="V62" i="62"/>
  <c r="T62" i="62"/>
  <c r="Z62" i="62" s="1"/>
  <c r="R62" i="62"/>
  <c r="P62" i="62"/>
  <c r="H62" i="62"/>
  <c r="F62" i="62"/>
  <c r="D62" i="62"/>
  <c r="B62" i="62"/>
  <c r="Z61" i="62"/>
  <c r="X61" i="62"/>
  <c r="L61" i="62"/>
  <c r="N61" i="62" s="1"/>
  <c r="F61" i="62"/>
  <c r="B61" i="62"/>
  <c r="T60" i="62"/>
  <c r="R60" i="62"/>
  <c r="P60" i="62"/>
  <c r="H60" i="62"/>
  <c r="D60" i="62"/>
  <c r="L60" i="62" s="1"/>
  <c r="N60" i="62" s="1"/>
  <c r="B60" i="62"/>
  <c r="X59" i="62"/>
  <c r="Z59" i="62" s="1"/>
  <c r="N59" i="62"/>
  <c r="L59" i="62"/>
  <c r="F59" i="62"/>
  <c r="B59" i="62"/>
  <c r="T58" i="62"/>
  <c r="P58" i="62"/>
  <c r="X58" i="62" s="1"/>
  <c r="Z58" i="62" s="1"/>
  <c r="N58" i="62"/>
  <c r="H58" i="62"/>
  <c r="D58" i="62"/>
  <c r="L58" i="62" s="1"/>
  <c r="B58" i="62"/>
  <c r="X57" i="62"/>
  <c r="Z57" i="62" s="1"/>
  <c r="R57" i="62"/>
  <c r="N57" i="62"/>
  <c r="L57" i="62"/>
  <c r="B57" i="62"/>
  <c r="Z56" i="62"/>
  <c r="V56" i="62"/>
  <c r="T56" i="62"/>
  <c r="P56" i="62"/>
  <c r="X56" i="62" s="1"/>
  <c r="L56" i="62"/>
  <c r="H56" i="62"/>
  <c r="N56" i="62" s="1"/>
  <c r="F56" i="62"/>
  <c r="D56" i="62"/>
  <c r="B56" i="62"/>
  <c r="Z55" i="62"/>
  <c r="X55" i="62"/>
  <c r="V55" i="62"/>
  <c r="R55" i="62"/>
  <c r="L55" i="62"/>
  <c r="N55" i="62" s="1"/>
  <c r="B55" i="62"/>
  <c r="X54" i="62"/>
  <c r="V54" i="62"/>
  <c r="T54" i="62"/>
  <c r="Z54" i="62" s="1"/>
  <c r="R54" i="62"/>
  <c r="P54" i="62"/>
  <c r="H54" i="62"/>
  <c r="F54" i="62"/>
  <c r="D54" i="62"/>
  <c r="B54" i="62"/>
  <c r="Z53" i="62"/>
  <c r="X53" i="62"/>
  <c r="L53" i="62"/>
  <c r="N53" i="62" s="1"/>
  <c r="F53" i="62"/>
  <c r="B53" i="62"/>
  <c r="T52" i="62"/>
  <c r="R52" i="62"/>
  <c r="P52" i="62"/>
  <c r="N52" i="62"/>
  <c r="H52" i="62"/>
  <c r="D52" i="62"/>
  <c r="L52" i="62" s="1"/>
  <c r="B52" i="62"/>
  <c r="Z51" i="62"/>
  <c r="X51" i="62"/>
  <c r="N51" i="62"/>
  <c r="L51" i="62"/>
  <c r="F51" i="62"/>
  <c r="B51" i="62"/>
  <c r="Z50" i="62"/>
  <c r="T50" i="62"/>
  <c r="P50" i="62"/>
  <c r="X50" i="62" s="1"/>
  <c r="N50" i="62"/>
  <c r="H50" i="62"/>
  <c r="D50" i="62"/>
  <c r="L50" i="62" s="1"/>
  <c r="B50" i="62"/>
  <c r="X49" i="62"/>
  <c r="Z49" i="62" s="1"/>
  <c r="R49" i="62"/>
  <c r="N49" i="62"/>
  <c r="L49" i="62"/>
  <c r="B49" i="62"/>
  <c r="Z48" i="62"/>
  <c r="X48" i="62"/>
  <c r="V48" i="62"/>
  <c r="N48" i="62"/>
  <c r="L48" i="62"/>
  <c r="F48" i="62"/>
  <c r="B48" i="62"/>
  <c r="X47" i="62"/>
  <c r="T47" i="62"/>
  <c r="P47" i="62"/>
  <c r="H47" i="62"/>
  <c r="D47" i="62"/>
  <c r="B47" i="62"/>
  <c r="X46" i="62"/>
  <c r="Z46" i="62" s="1"/>
  <c r="V46" i="62"/>
  <c r="N46" i="62"/>
  <c r="L46" i="62"/>
  <c r="B46" i="62"/>
  <c r="T45" i="62"/>
  <c r="P45" i="62"/>
  <c r="H45" i="62"/>
  <c r="D45" i="62"/>
  <c r="B45" i="62"/>
  <c r="X44" i="62"/>
  <c r="Z44" i="62" s="1"/>
  <c r="R44" i="62"/>
  <c r="N44" i="62"/>
  <c r="L44" i="62"/>
  <c r="B44" i="62"/>
  <c r="V43" i="62"/>
  <c r="T43" i="62"/>
  <c r="P43" i="62"/>
  <c r="X43" i="62" s="1"/>
  <c r="H43" i="62"/>
  <c r="F43" i="62"/>
  <c r="D43" i="62"/>
  <c r="L43" i="62" s="1"/>
  <c r="N43" i="62" s="1"/>
  <c r="B43" i="62"/>
  <c r="Z42" i="62"/>
  <c r="X42" i="62"/>
  <c r="N42" i="62"/>
  <c r="L42" i="62"/>
  <c r="B42" i="62"/>
  <c r="Z41" i="62"/>
  <c r="T41" i="62"/>
  <c r="R41" i="62"/>
  <c r="P41" i="62"/>
  <c r="X41" i="62" s="1"/>
  <c r="L41" i="62"/>
  <c r="H41" i="62"/>
  <c r="N41" i="62" s="1"/>
  <c r="D41" i="62"/>
  <c r="B41" i="62"/>
  <c r="Z40" i="62"/>
  <c r="X40" i="62"/>
  <c r="V40" i="62"/>
  <c r="N40" i="62"/>
  <c r="L40" i="62"/>
  <c r="F40" i="62"/>
  <c r="B40" i="62"/>
  <c r="Z39" i="62"/>
  <c r="X39" i="62"/>
  <c r="N39" i="62"/>
  <c r="L39" i="62"/>
  <c r="F39" i="62"/>
  <c r="B39" i="62"/>
  <c r="Z38" i="62"/>
  <c r="X38" i="62"/>
  <c r="L38" i="62"/>
  <c r="N38" i="62" s="1"/>
  <c r="J38" i="62"/>
  <c r="B38" i="62"/>
  <c r="Z37" i="62"/>
  <c r="X37" i="62"/>
  <c r="N37" i="62"/>
  <c r="L37" i="62"/>
  <c r="F37" i="62"/>
  <c r="B37" i="62"/>
  <c r="Z36" i="62"/>
  <c r="X36" i="62"/>
  <c r="R36" i="62"/>
  <c r="N36" i="62"/>
  <c r="L36" i="62"/>
  <c r="J36" i="62"/>
  <c r="B36" i="62"/>
  <c r="Z35" i="62"/>
  <c r="X35" i="62"/>
  <c r="V35" i="62"/>
  <c r="R35" i="62"/>
  <c r="N35" i="62"/>
  <c r="L35" i="62"/>
  <c r="B35" i="62"/>
  <c r="X34" i="62"/>
  <c r="Z34" i="62" s="1"/>
  <c r="V34" i="62"/>
  <c r="N34" i="62"/>
  <c r="L34" i="62"/>
  <c r="B34" i="62"/>
  <c r="Z33" i="62"/>
  <c r="X33" i="62"/>
  <c r="R33" i="62"/>
  <c r="N33" i="62"/>
  <c r="L33" i="62"/>
  <c r="B33" i="62"/>
  <c r="Z32" i="62"/>
  <c r="X32" i="62"/>
  <c r="V32" i="62"/>
  <c r="N32" i="62"/>
  <c r="L32" i="62"/>
  <c r="F32" i="62"/>
  <c r="B32" i="62"/>
  <c r="X31" i="62"/>
  <c r="Z31" i="62" s="1"/>
  <c r="N31" i="62"/>
  <c r="L31" i="62"/>
  <c r="F31" i="62"/>
  <c r="B31" i="62"/>
  <c r="Z30" i="62"/>
  <c r="T30" i="62"/>
  <c r="P30" i="62"/>
  <c r="X30" i="62" s="1"/>
  <c r="N30" i="62"/>
  <c r="J30" i="62"/>
  <c r="H30" i="62"/>
  <c r="D30" i="62"/>
  <c r="L30" i="62" s="1"/>
  <c r="B30" i="62"/>
  <c r="Z29" i="62"/>
  <c r="X29" i="62"/>
  <c r="R29" i="62"/>
  <c r="N29" i="62"/>
  <c r="L29" i="62"/>
  <c r="B29" i="62"/>
  <c r="Z28" i="62"/>
  <c r="X28" i="62"/>
  <c r="V28" i="62"/>
  <c r="L28" i="62"/>
  <c r="N28" i="62" s="1"/>
  <c r="F28" i="62"/>
  <c r="B28" i="62"/>
  <c r="X27" i="62"/>
  <c r="Z27" i="62" s="1"/>
  <c r="N27" i="62"/>
  <c r="L27" i="62"/>
  <c r="F27" i="62"/>
  <c r="B27" i="62"/>
  <c r="Z26" i="62"/>
  <c r="X26" i="62"/>
  <c r="N26" i="62"/>
  <c r="L26" i="62"/>
  <c r="J26" i="62"/>
  <c r="B26" i="62"/>
  <c r="Z25" i="62"/>
  <c r="X25" i="62"/>
  <c r="V25" i="62"/>
  <c r="N25" i="62"/>
  <c r="L25" i="62"/>
  <c r="F25" i="62"/>
  <c r="B25" i="62"/>
  <c r="X24" i="62"/>
  <c r="Z24" i="62" s="1"/>
  <c r="R24" i="62"/>
  <c r="N24" i="62"/>
  <c r="L24" i="62"/>
  <c r="B24" i="62"/>
  <c r="Z23" i="62"/>
  <c r="X23" i="62"/>
  <c r="V23" i="62"/>
  <c r="R23" i="62"/>
  <c r="L23" i="62"/>
  <c r="N23" i="62" s="1"/>
  <c r="B23" i="62"/>
  <c r="X22" i="62"/>
  <c r="Z22" i="62" s="1"/>
  <c r="V22" i="62"/>
  <c r="N22" i="62"/>
  <c r="L22" i="62"/>
  <c r="B22" i="62"/>
  <c r="X21" i="62"/>
  <c r="Z21" i="62" s="1"/>
  <c r="R21" i="62"/>
  <c r="N21" i="62"/>
  <c r="L21" i="62"/>
  <c r="B21" i="62"/>
  <c r="Z20" i="62"/>
  <c r="X20" i="62"/>
  <c r="V20" i="62"/>
  <c r="L20" i="62"/>
  <c r="N20" i="62" s="1"/>
  <c r="F20" i="62"/>
  <c r="B20" i="62"/>
  <c r="X19" i="62"/>
  <c r="V19" i="62"/>
  <c r="T19" i="62"/>
  <c r="Z19" i="62" s="1"/>
  <c r="P19" i="62"/>
  <c r="L19" i="62"/>
  <c r="H19" i="62"/>
  <c r="D19" i="62"/>
  <c r="B19" i="62"/>
  <c r="X18" i="62"/>
  <c r="V18" i="62"/>
  <c r="T18" i="62"/>
  <c r="Z18" i="62" s="1"/>
  <c r="R18" i="62"/>
  <c r="P18" i="62"/>
  <c r="H18" i="62"/>
  <c r="N18" i="62" s="1"/>
  <c r="F18" i="62"/>
  <c r="D18" i="62"/>
  <c r="L18" i="62" s="1"/>
  <c r="P16" i="62"/>
  <c r="X16" i="62" s="1"/>
  <c r="J16" i="62"/>
  <c r="X14" i="62"/>
  <c r="V14" i="62"/>
  <c r="T14" i="62"/>
  <c r="T16" i="62" s="1"/>
  <c r="T96" i="62" s="1"/>
  <c r="R14" i="62"/>
  <c r="P14" i="62"/>
  <c r="H14" i="62"/>
  <c r="N14" i="62" s="1"/>
  <c r="F14" i="62"/>
  <c r="D14" i="62"/>
  <c r="L14" i="62" s="1"/>
  <c r="Z12" i="62"/>
  <c r="X12" i="62"/>
  <c r="T12" i="62"/>
  <c r="V98" i="62" s="1"/>
  <c r="P12" i="62"/>
  <c r="R66" i="62" s="1"/>
  <c r="H12" i="62"/>
  <c r="J76" i="62" s="1"/>
  <c r="D12" i="62"/>
  <c r="D6" i="62"/>
  <c r="D4" i="62"/>
  <c r="R64" i="61"/>
  <c r="V61" i="61"/>
  <c r="J61" i="61"/>
  <c r="F61" i="61"/>
  <c r="Z59" i="61"/>
  <c r="X59" i="61"/>
  <c r="R59" i="61"/>
  <c r="N59" i="61"/>
  <c r="L59" i="61"/>
  <c r="J59" i="61"/>
  <c r="R57" i="61"/>
  <c r="Z55" i="61"/>
  <c r="X55" i="61"/>
  <c r="V55" i="61"/>
  <c r="T55" i="61"/>
  <c r="P55" i="61"/>
  <c r="L55" i="61"/>
  <c r="J55" i="61"/>
  <c r="H55" i="61"/>
  <c r="N55" i="61" s="1"/>
  <c r="D55" i="61"/>
  <c r="X53" i="61"/>
  <c r="Z53" i="61" s="1"/>
  <c r="R53" i="61"/>
  <c r="N53" i="61"/>
  <c r="L53" i="61"/>
  <c r="J53" i="61"/>
  <c r="B53" i="61"/>
  <c r="V52" i="61"/>
  <c r="T52" i="61"/>
  <c r="P52" i="61"/>
  <c r="N52" i="61"/>
  <c r="H52" i="61"/>
  <c r="D52" i="61"/>
  <c r="L52" i="61" s="1"/>
  <c r="B52" i="61"/>
  <c r="Z51" i="61"/>
  <c r="X51" i="61"/>
  <c r="L51" i="61"/>
  <c r="N51" i="61" s="1"/>
  <c r="J51" i="61"/>
  <c r="B51" i="61"/>
  <c r="Z50" i="61"/>
  <c r="X50" i="61"/>
  <c r="L50" i="61"/>
  <c r="N50" i="61" s="1"/>
  <c r="F50" i="61"/>
  <c r="B50" i="61"/>
  <c r="T49" i="61"/>
  <c r="Z49" i="61" s="1"/>
  <c r="R49" i="61"/>
  <c r="P49" i="61"/>
  <c r="X49" i="61" s="1"/>
  <c r="N49" i="61"/>
  <c r="H49" i="61"/>
  <c r="D49" i="61"/>
  <c r="L49" i="61" s="1"/>
  <c r="B49" i="61"/>
  <c r="X48" i="61"/>
  <c r="Z48" i="61" s="1"/>
  <c r="N48" i="61"/>
  <c r="L48" i="61"/>
  <c r="J48" i="61"/>
  <c r="F48" i="61"/>
  <c r="B48" i="61"/>
  <c r="T47" i="61"/>
  <c r="P47" i="61"/>
  <c r="X47" i="61" s="1"/>
  <c r="Z47" i="61" s="1"/>
  <c r="N47" i="61"/>
  <c r="L47" i="61"/>
  <c r="J47" i="61"/>
  <c r="H47" i="61"/>
  <c r="D47" i="61"/>
  <c r="B47" i="61"/>
  <c r="Z46" i="61"/>
  <c r="X46" i="61"/>
  <c r="R46" i="61"/>
  <c r="N46" i="61"/>
  <c r="L46" i="61"/>
  <c r="B46" i="61"/>
  <c r="Z45" i="61"/>
  <c r="X45" i="61"/>
  <c r="V45" i="61"/>
  <c r="L45" i="61"/>
  <c r="N45" i="61" s="1"/>
  <c r="B45" i="61"/>
  <c r="X44" i="61"/>
  <c r="Z44" i="61" s="1"/>
  <c r="T44" i="61"/>
  <c r="P44" i="61"/>
  <c r="H44" i="61"/>
  <c r="D44" i="61"/>
  <c r="B44" i="61"/>
  <c r="X43" i="61"/>
  <c r="Z43" i="61" s="1"/>
  <c r="V43" i="61"/>
  <c r="N43" i="61"/>
  <c r="L43" i="61"/>
  <c r="B43" i="61"/>
  <c r="T42" i="61"/>
  <c r="P42" i="61"/>
  <c r="J42" i="61"/>
  <c r="H42" i="61"/>
  <c r="N42" i="61" s="1"/>
  <c r="D42" i="61"/>
  <c r="B42" i="61"/>
  <c r="X41" i="61"/>
  <c r="Z41" i="61" s="1"/>
  <c r="R41" i="61"/>
  <c r="N41" i="61"/>
  <c r="L41" i="61"/>
  <c r="J41" i="61"/>
  <c r="B41" i="61"/>
  <c r="V40" i="61"/>
  <c r="T40" i="61"/>
  <c r="P40" i="61"/>
  <c r="H40" i="61"/>
  <c r="D40" i="61"/>
  <c r="L40" i="61" s="1"/>
  <c r="N40" i="61" s="1"/>
  <c r="B40" i="61"/>
  <c r="Z39" i="61"/>
  <c r="X39" i="61"/>
  <c r="N39" i="61"/>
  <c r="L39" i="61"/>
  <c r="J39" i="61"/>
  <c r="B39" i="61"/>
  <c r="Z38" i="61"/>
  <c r="X38" i="61"/>
  <c r="N38" i="61"/>
  <c r="L38" i="61"/>
  <c r="F38" i="61"/>
  <c r="B38" i="61"/>
  <c r="Z37" i="61"/>
  <c r="X37" i="61"/>
  <c r="R37" i="61"/>
  <c r="N37" i="61"/>
  <c r="L37" i="61"/>
  <c r="J37" i="61"/>
  <c r="B37" i="61"/>
  <c r="Z36" i="61"/>
  <c r="X36" i="61"/>
  <c r="V36" i="61"/>
  <c r="R36" i="61"/>
  <c r="L36" i="61"/>
  <c r="N36" i="61" s="1"/>
  <c r="B36" i="61"/>
  <c r="Z35" i="61"/>
  <c r="X35" i="61"/>
  <c r="V35" i="61"/>
  <c r="R35" i="61"/>
  <c r="N35" i="61"/>
  <c r="L35" i="61"/>
  <c r="B35" i="61"/>
  <c r="Z34" i="61"/>
  <c r="X34" i="61"/>
  <c r="R34" i="61"/>
  <c r="N34" i="61"/>
  <c r="L34" i="61"/>
  <c r="B34" i="61"/>
  <c r="Z33" i="61"/>
  <c r="X33" i="61"/>
  <c r="V33" i="61"/>
  <c r="L33" i="61"/>
  <c r="N33" i="61" s="1"/>
  <c r="F33" i="61"/>
  <c r="B33" i="61"/>
  <c r="Z32" i="61"/>
  <c r="X32" i="61"/>
  <c r="N32" i="61"/>
  <c r="L32" i="61"/>
  <c r="J32" i="61"/>
  <c r="F32" i="61"/>
  <c r="B32" i="61"/>
  <c r="Z31" i="61"/>
  <c r="X31" i="61"/>
  <c r="N31" i="61"/>
  <c r="L31" i="61"/>
  <c r="J31" i="61"/>
  <c r="B31" i="61"/>
  <c r="Z30" i="61"/>
  <c r="X30" i="61"/>
  <c r="N30" i="61"/>
  <c r="L30" i="61"/>
  <c r="B30" i="61"/>
  <c r="T29" i="61"/>
  <c r="R29" i="61"/>
  <c r="P29" i="61"/>
  <c r="X29" i="61" s="1"/>
  <c r="N29" i="61"/>
  <c r="H29" i="61"/>
  <c r="D29" i="61"/>
  <c r="L29" i="61" s="1"/>
  <c r="B29" i="61"/>
  <c r="X28" i="61"/>
  <c r="Z28" i="61" s="1"/>
  <c r="N28" i="61"/>
  <c r="L28" i="61"/>
  <c r="J28" i="61"/>
  <c r="F28" i="61"/>
  <c r="B28" i="61"/>
  <c r="Z27" i="61"/>
  <c r="X27" i="61"/>
  <c r="R27" i="61"/>
  <c r="L27" i="61"/>
  <c r="N27" i="61" s="1"/>
  <c r="J27" i="61"/>
  <c r="B27" i="61"/>
  <c r="Z26" i="61"/>
  <c r="X26" i="61"/>
  <c r="L26" i="61"/>
  <c r="N26" i="61" s="1"/>
  <c r="F26" i="61"/>
  <c r="B26" i="61"/>
  <c r="Z25" i="61"/>
  <c r="X25" i="61"/>
  <c r="R25" i="61"/>
  <c r="N25" i="61"/>
  <c r="L25" i="61"/>
  <c r="J25" i="61"/>
  <c r="B25" i="61"/>
  <c r="Z24" i="61"/>
  <c r="X24" i="61"/>
  <c r="V24" i="61"/>
  <c r="R24" i="61"/>
  <c r="N24" i="61"/>
  <c r="L24" i="61"/>
  <c r="B24" i="61"/>
  <c r="X23" i="61"/>
  <c r="Z23" i="61" s="1"/>
  <c r="V23" i="61"/>
  <c r="R23" i="61"/>
  <c r="N23" i="61"/>
  <c r="L23" i="61"/>
  <c r="B23" i="61"/>
  <c r="X22" i="61"/>
  <c r="Z22" i="61" s="1"/>
  <c r="V22" i="61"/>
  <c r="R22" i="61"/>
  <c r="N22" i="61"/>
  <c r="L22" i="61"/>
  <c r="B22" i="61"/>
  <c r="Z21" i="61"/>
  <c r="X21" i="61"/>
  <c r="V21" i="61"/>
  <c r="R21" i="61"/>
  <c r="L21" i="61"/>
  <c r="N21" i="61" s="1"/>
  <c r="F21" i="61"/>
  <c r="B21" i="61"/>
  <c r="X20" i="61"/>
  <c r="Z20" i="61" s="1"/>
  <c r="N20" i="61"/>
  <c r="L20" i="61"/>
  <c r="J20" i="61"/>
  <c r="F20" i="61"/>
  <c r="B20" i="61"/>
  <c r="Z19" i="61"/>
  <c r="T19" i="61"/>
  <c r="P19" i="61"/>
  <c r="X19" i="61" s="1"/>
  <c r="N19" i="61"/>
  <c r="L19" i="61"/>
  <c r="J19" i="61"/>
  <c r="H19" i="61"/>
  <c r="D19" i="61"/>
  <c r="B19" i="61"/>
  <c r="Z18" i="61"/>
  <c r="X18" i="61"/>
  <c r="V18" i="61"/>
  <c r="T18" i="61"/>
  <c r="R18" i="61"/>
  <c r="P18" i="61"/>
  <c r="J18" i="61"/>
  <c r="H18" i="61"/>
  <c r="D18" i="61"/>
  <c r="L18" i="61" s="1"/>
  <c r="R16" i="61"/>
  <c r="P16" i="61"/>
  <c r="X14" i="61"/>
  <c r="V14" i="61"/>
  <c r="T14" i="61"/>
  <c r="Z14" i="61" s="1"/>
  <c r="R14" i="61"/>
  <c r="P14" i="61"/>
  <c r="J14" i="61"/>
  <c r="H14" i="61"/>
  <c r="N14" i="61" s="1"/>
  <c r="D14" i="61"/>
  <c r="L14" i="61" s="1"/>
  <c r="Z12" i="61"/>
  <c r="T12" i="61"/>
  <c r="V48" i="61" s="1"/>
  <c r="P12" i="61"/>
  <c r="R45" i="61" s="1"/>
  <c r="N12" i="61"/>
  <c r="L12" i="61"/>
  <c r="H12" i="61"/>
  <c r="J36" i="61" s="1"/>
  <c r="D12" i="61"/>
  <c r="F30" i="61" s="1"/>
  <c r="D6" i="61"/>
  <c r="D4" i="61"/>
  <c r="F65" i="60"/>
  <c r="Z60" i="60"/>
  <c r="X60" i="60"/>
  <c r="N60" i="60"/>
  <c r="L60" i="60"/>
  <c r="V58" i="60"/>
  <c r="F58" i="60"/>
  <c r="D58" i="60"/>
  <c r="Z56" i="60"/>
  <c r="X56" i="60"/>
  <c r="T56" i="60"/>
  <c r="P56" i="60"/>
  <c r="L56" i="60"/>
  <c r="H56" i="60"/>
  <c r="N56" i="60" s="1"/>
  <c r="D56" i="60"/>
  <c r="Z54" i="60"/>
  <c r="X54" i="60"/>
  <c r="L54" i="60"/>
  <c r="N54" i="60" s="1"/>
  <c r="B54" i="60"/>
  <c r="X53" i="60"/>
  <c r="T53" i="60"/>
  <c r="P53" i="60"/>
  <c r="H53" i="60"/>
  <c r="F53" i="60"/>
  <c r="D53" i="60"/>
  <c r="L53" i="60" s="1"/>
  <c r="B53" i="60"/>
  <c r="X52" i="60"/>
  <c r="Z52" i="60" s="1"/>
  <c r="N52" i="60"/>
  <c r="L52" i="60"/>
  <c r="F52" i="60"/>
  <c r="B52" i="60"/>
  <c r="Z51" i="60"/>
  <c r="X51" i="60"/>
  <c r="N51" i="60"/>
  <c r="L51" i="60"/>
  <c r="J51" i="60"/>
  <c r="B51" i="60"/>
  <c r="Z50" i="60"/>
  <c r="X50" i="60"/>
  <c r="V50" i="60"/>
  <c r="N50" i="60"/>
  <c r="L50" i="60"/>
  <c r="B50" i="60"/>
  <c r="X49" i="60"/>
  <c r="V49" i="60"/>
  <c r="T49" i="60"/>
  <c r="Z49" i="60" s="1"/>
  <c r="P49" i="60"/>
  <c r="H49" i="60"/>
  <c r="F49" i="60"/>
  <c r="D49" i="60"/>
  <c r="B49" i="60"/>
  <c r="X48" i="60"/>
  <c r="Z48" i="60" s="1"/>
  <c r="L48" i="60"/>
  <c r="N48" i="60" s="1"/>
  <c r="F48" i="60"/>
  <c r="B48" i="60"/>
  <c r="T47" i="60"/>
  <c r="P47" i="60"/>
  <c r="H47" i="60"/>
  <c r="D47" i="60"/>
  <c r="L47" i="60" s="1"/>
  <c r="N47" i="60" s="1"/>
  <c r="B47" i="60"/>
  <c r="Z46" i="60"/>
  <c r="X46" i="60"/>
  <c r="N46" i="60"/>
  <c r="L46" i="60"/>
  <c r="J46" i="60"/>
  <c r="F46" i="60"/>
  <c r="B46" i="60"/>
  <c r="Z45" i="60"/>
  <c r="X45" i="60"/>
  <c r="L45" i="60"/>
  <c r="N45" i="60" s="1"/>
  <c r="J45" i="60"/>
  <c r="B45" i="60"/>
  <c r="T44" i="60"/>
  <c r="P44" i="60"/>
  <c r="X44" i="60" s="1"/>
  <c r="Z44" i="60" s="1"/>
  <c r="L44" i="60"/>
  <c r="N44" i="60" s="1"/>
  <c r="H44" i="60"/>
  <c r="D44" i="60"/>
  <c r="B44" i="60"/>
  <c r="Z43" i="60"/>
  <c r="X43" i="60"/>
  <c r="N43" i="60"/>
  <c r="L43" i="60"/>
  <c r="F43" i="60"/>
  <c r="B43" i="60"/>
  <c r="X42" i="60"/>
  <c r="Z42" i="60" s="1"/>
  <c r="T42" i="60"/>
  <c r="P42" i="60"/>
  <c r="H42" i="60"/>
  <c r="D42" i="60"/>
  <c r="B42" i="60"/>
  <c r="X41" i="60"/>
  <c r="Z41" i="60" s="1"/>
  <c r="N41" i="60"/>
  <c r="L41" i="60"/>
  <c r="B41" i="60"/>
  <c r="T40" i="60"/>
  <c r="X40" i="60" s="1"/>
  <c r="Z40" i="60" s="1"/>
  <c r="P40" i="60"/>
  <c r="J40" i="60"/>
  <c r="H40" i="60"/>
  <c r="D40" i="60"/>
  <c r="B40" i="60"/>
  <c r="Z39" i="60"/>
  <c r="X39" i="60"/>
  <c r="N39" i="60"/>
  <c r="L39" i="60"/>
  <c r="J39" i="60"/>
  <c r="B39" i="60"/>
  <c r="Z38" i="60"/>
  <c r="X38" i="60"/>
  <c r="V38" i="60"/>
  <c r="N38" i="60"/>
  <c r="L38" i="60"/>
  <c r="B38" i="60"/>
  <c r="Z37" i="60"/>
  <c r="X37" i="60"/>
  <c r="V37" i="60"/>
  <c r="N37" i="60"/>
  <c r="L37" i="60"/>
  <c r="B37" i="60"/>
  <c r="Z36" i="60"/>
  <c r="X36" i="60"/>
  <c r="N36" i="60"/>
  <c r="L36" i="60"/>
  <c r="B36" i="60"/>
  <c r="Z35" i="60"/>
  <c r="X35" i="60"/>
  <c r="N35" i="60"/>
  <c r="L35" i="60"/>
  <c r="F35" i="60"/>
  <c r="B35" i="60"/>
  <c r="Z34" i="60"/>
  <c r="X34" i="60"/>
  <c r="N34" i="60"/>
  <c r="L34" i="60"/>
  <c r="J34" i="60"/>
  <c r="F34" i="60"/>
  <c r="B34" i="60"/>
  <c r="Z33" i="60"/>
  <c r="X33" i="60"/>
  <c r="L33" i="60"/>
  <c r="N33" i="60" s="1"/>
  <c r="J33" i="60"/>
  <c r="B33" i="60"/>
  <c r="Z32" i="60"/>
  <c r="X32" i="60"/>
  <c r="N32" i="60"/>
  <c r="L32" i="60"/>
  <c r="F32" i="60"/>
  <c r="B32" i="60"/>
  <c r="Z31" i="60"/>
  <c r="X31" i="60"/>
  <c r="N31" i="60"/>
  <c r="L31" i="60"/>
  <c r="J31" i="60"/>
  <c r="B31" i="60"/>
  <c r="Z30" i="60"/>
  <c r="X30" i="60"/>
  <c r="N30" i="60"/>
  <c r="L30" i="60"/>
  <c r="B30" i="60"/>
  <c r="X29" i="60"/>
  <c r="V29" i="60"/>
  <c r="T29" i="60"/>
  <c r="P29" i="60"/>
  <c r="H29" i="60"/>
  <c r="F29" i="60"/>
  <c r="D29" i="60"/>
  <c r="L29" i="60" s="1"/>
  <c r="B29" i="60"/>
  <c r="X28" i="60"/>
  <c r="Z28" i="60" s="1"/>
  <c r="L28" i="60"/>
  <c r="N28" i="60" s="1"/>
  <c r="F28" i="60"/>
  <c r="B28" i="60"/>
  <c r="Z27" i="60"/>
  <c r="X27" i="60"/>
  <c r="N27" i="60"/>
  <c r="L27" i="60"/>
  <c r="J27" i="60"/>
  <c r="B27" i="60"/>
  <c r="Z26" i="60"/>
  <c r="X26" i="60"/>
  <c r="V26" i="60"/>
  <c r="L26" i="60"/>
  <c r="N26" i="60" s="1"/>
  <c r="B26" i="60"/>
  <c r="Z25" i="60"/>
  <c r="X25" i="60"/>
  <c r="V25" i="60"/>
  <c r="N25" i="60"/>
  <c r="L25" i="60"/>
  <c r="B25" i="60"/>
  <c r="Z24" i="60"/>
  <c r="X24" i="60"/>
  <c r="N24" i="60"/>
  <c r="L24" i="60"/>
  <c r="B24" i="60"/>
  <c r="Z23" i="60"/>
  <c r="X23" i="60"/>
  <c r="V23" i="60"/>
  <c r="N23" i="60"/>
  <c r="L23" i="60"/>
  <c r="F23" i="60"/>
  <c r="B23" i="60"/>
  <c r="X22" i="60"/>
  <c r="Z22" i="60" s="1"/>
  <c r="N22" i="60"/>
  <c r="L22" i="60"/>
  <c r="J22" i="60"/>
  <c r="F22" i="60"/>
  <c r="B22" i="60"/>
  <c r="Z21" i="60"/>
  <c r="X21" i="60"/>
  <c r="L21" i="60"/>
  <c r="N21" i="60" s="1"/>
  <c r="J21" i="60"/>
  <c r="B21" i="60"/>
  <c r="X20" i="60"/>
  <c r="Z20" i="60" s="1"/>
  <c r="L20" i="60"/>
  <c r="N20" i="60" s="1"/>
  <c r="J20" i="60"/>
  <c r="F20" i="60"/>
  <c r="B20" i="60"/>
  <c r="T19" i="60"/>
  <c r="P19" i="60"/>
  <c r="H19" i="60"/>
  <c r="D19" i="60"/>
  <c r="L19" i="60" s="1"/>
  <c r="N19" i="60" s="1"/>
  <c r="B19" i="60"/>
  <c r="X18" i="60"/>
  <c r="Z18" i="60" s="1"/>
  <c r="T18" i="60"/>
  <c r="P18" i="60"/>
  <c r="J18" i="60"/>
  <c r="H18" i="60"/>
  <c r="L18" i="60" s="1"/>
  <c r="D18" i="60"/>
  <c r="V16" i="60"/>
  <c r="T16" i="60"/>
  <c r="Z16" i="60" s="1"/>
  <c r="F16" i="60"/>
  <c r="D16" i="60"/>
  <c r="X14" i="60"/>
  <c r="T14" i="60"/>
  <c r="Z14" i="60" s="1"/>
  <c r="P14" i="60"/>
  <c r="N14" i="60"/>
  <c r="L14" i="60"/>
  <c r="J14" i="60"/>
  <c r="H14" i="60"/>
  <c r="D14" i="60"/>
  <c r="T12" i="60"/>
  <c r="V65" i="60" s="1"/>
  <c r="P12" i="60"/>
  <c r="R44" i="60" s="1"/>
  <c r="N12" i="60"/>
  <c r="L12" i="60"/>
  <c r="H12" i="60"/>
  <c r="J60" i="60" s="1"/>
  <c r="D12" i="60"/>
  <c r="F62" i="60" s="1"/>
  <c r="D6" i="60"/>
  <c r="D4" i="60"/>
  <c r="Z62" i="59"/>
  <c r="X62" i="59"/>
  <c r="N62" i="59"/>
  <c r="L62" i="59"/>
  <c r="J60" i="59"/>
  <c r="T58" i="59"/>
  <c r="Z58" i="59" s="1"/>
  <c r="P58" i="59"/>
  <c r="X58" i="59" s="1"/>
  <c r="L58" i="59"/>
  <c r="H58" i="59"/>
  <c r="N58" i="59" s="1"/>
  <c r="D58" i="59"/>
  <c r="X56" i="59"/>
  <c r="Z56" i="59" s="1"/>
  <c r="L56" i="59"/>
  <c r="N56" i="59" s="1"/>
  <c r="B56" i="59"/>
  <c r="Z55" i="59"/>
  <c r="X55" i="59"/>
  <c r="N55" i="59"/>
  <c r="L55" i="59"/>
  <c r="B55" i="59"/>
  <c r="X54" i="59"/>
  <c r="T54" i="59"/>
  <c r="P54" i="59"/>
  <c r="H54" i="59"/>
  <c r="L54" i="59" s="1"/>
  <c r="N54" i="59" s="1"/>
  <c r="D54" i="59"/>
  <c r="B54" i="59"/>
  <c r="X53" i="59"/>
  <c r="Z53" i="59" s="1"/>
  <c r="N53" i="59"/>
  <c r="L53" i="59"/>
  <c r="B53" i="59"/>
  <c r="X52" i="59"/>
  <c r="Z52" i="59" s="1"/>
  <c r="T52" i="59"/>
  <c r="P52" i="59"/>
  <c r="H52" i="59"/>
  <c r="D52" i="59"/>
  <c r="L52" i="59" s="1"/>
  <c r="B52" i="59"/>
  <c r="Z51" i="59"/>
  <c r="X51" i="59"/>
  <c r="N51" i="59"/>
  <c r="L51" i="59"/>
  <c r="B51" i="59"/>
  <c r="X50" i="59"/>
  <c r="Z50" i="59" s="1"/>
  <c r="L50" i="59"/>
  <c r="N50" i="59" s="1"/>
  <c r="B50" i="59"/>
  <c r="X49" i="59"/>
  <c r="Z49" i="59" s="1"/>
  <c r="N49" i="59"/>
  <c r="L49" i="59"/>
  <c r="J49" i="59"/>
  <c r="B49" i="59"/>
  <c r="Z48" i="59"/>
  <c r="X48" i="59"/>
  <c r="L48" i="59"/>
  <c r="N48" i="59" s="1"/>
  <c r="B48" i="59"/>
  <c r="Z47" i="59"/>
  <c r="T47" i="59"/>
  <c r="P47" i="59"/>
  <c r="X47" i="59" s="1"/>
  <c r="L47" i="59"/>
  <c r="N47" i="59" s="1"/>
  <c r="J47" i="59"/>
  <c r="H47" i="59"/>
  <c r="D47" i="59"/>
  <c r="B47" i="59"/>
  <c r="X46" i="59"/>
  <c r="Z46" i="59" s="1"/>
  <c r="L46" i="59"/>
  <c r="N46" i="59" s="1"/>
  <c r="B46" i="59"/>
  <c r="X45" i="59"/>
  <c r="Z45" i="59" s="1"/>
  <c r="T45" i="59"/>
  <c r="P45" i="59"/>
  <c r="N45" i="59"/>
  <c r="H45" i="59"/>
  <c r="D45" i="59"/>
  <c r="L45" i="59" s="1"/>
  <c r="B45" i="59"/>
  <c r="X44" i="59"/>
  <c r="Z44" i="59" s="1"/>
  <c r="L44" i="59"/>
  <c r="N44" i="59" s="1"/>
  <c r="B44" i="59"/>
  <c r="Z43" i="59"/>
  <c r="X43" i="59"/>
  <c r="N43" i="59"/>
  <c r="L43" i="59"/>
  <c r="J43" i="59"/>
  <c r="B43" i="59"/>
  <c r="X42" i="59"/>
  <c r="T42" i="59"/>
  <c r="P42" i="59"/>
  <c r="J42" i="59"/>
  <c r="H42" i="59"/>
  <c r="D42" i="59"/>
  <c r="L42" i="59" s="1"/>
  <c r="B42" i="59"/>
  <c r="Z41" i="59"/>
  <c r="X41" i="59"/>
  <c r="N41" i="59"/>
  <c r="L41" i="59"/>
  <c r="J41" i="59"/>
  <c r="B41" i="59"/>
  <c r="T40" i="59"/>
  <c r="Z40" i="59" s="1"/>
  <c r="P40" i="59"/>
  <c r="X40" i="59" s="1"/>
  <c r="N40" i="59"/>
  <c r="H40" i="59"/>
  <c r="L40" i="59" s="1"/>
  <c r="D40" i="59"/>
  <c r="B40" i="59"/>
  <c r="Z39" i="59"/>
  <c r="X39" i="59"/>
  <c r="N39" i="59"/>
  <c r="L39" i="59"/>
  <c r="B39" i="59"/>
  <c r="Z38" i="59"/>
  <c r="X38" i="59"/>
  <c r="N38" i="59"/>
  <c r="L38" i="59"/>
  <c r="B38" i="59"/>
  <c r="Z37" i="59"/>
  <c r="X37" i="59"/>
  <c r="N37" i="59"/>
  <c r="L37" i="59"/>
  <c r="J37" i="59"/>
  <c r="B37" i="59"/>
  <c r="Z36" i="59"/>
  <c r="X36" i="59"/>
  <c r="N36" i="59"/>
  <c r="L36" i="59"/>
  <c r="B36" i="59"/>
  <c r="Z35" i="59"/>
  <c r="X35" i="59"/>
  <c r="N35" i="59"/>
  <c r="L35" i="59"/>
  <c r="J35" i="59"/>
  <c r="B35" i="59"/>
  <c r="Z34" i="59"/>
  <c r="X34" i="59"/>
  <c r="R34" i="59"/>
  <c r="N34" i="59"/>
  <c r="L34" i="59"/>
  <c r="J34" i="59"/>
  <c r="B34" i="59"/>
  <c r="X33" i="59"/>
  <c r="Z33" i="59" s="1"/>
  <c r="L33" i="59"/>
  <c r="N33" i="59" s="1"/>
  <c r="J33" i="59"/>
  <c r="B33" i="59"/>
  <c r="Z32" i="59"/>
  <c r="X32" i="59"/>
  <c r="N32" i="59"/>
  <c r="L32" i="59"/>
  <c r="J32" i="59"/>
  <c r="B32" i="59"/>
  <c r="Z31" i="59"/>
  <c r="X31" i="59"/>
  <c r="N31" i="59"/>
  <c r="L31" i="59"/>
  <c r="B31" i="59"/>
  <c r="Z30" i="59"/>
  <c r="X30" i="59"/>
  <c r="N30" i="59"/>
  <c r="L30" i="59"/>
  <c r="B30" i="59"/>
  <c r="X29" i="59"/>
  <c r="Z29" i="59" s="1"/>
  <c r="T29" i="59"/>
  <c r="P29" i="59"/>
  <c r="J29" i="59"/>
  <c r="H29" i="59"/>
  <c r="D29" i="59"/>
  <c r="L29" i="59" s="1"/>
  <c r="N29" i="59" s="1"/>
  <c r="B29" i="59"/>
  <c r="X28" i="59"/>
  <c r="Z28" i="59" s="1"/>
  <c r="N28" i="59"/>
  <c r="L28" i="59"/>
  <c r="J28" i="59"/>
  <c r="B28" i="59"/>
  <c r="Z27" i="59"/>
  <c r="X27" i="59"/>
  <c r="L27" i="59"/>
  <c r="N27" i="59" s="1"/>
  <c r="B27" i="59"/>
  <c r="X26" i="59"/>
  <c r="Z26" i="59" s="1"/>
  <c r="N26" i="59"/>
  <c r="L26" i="59"/>
  <c r="B26" i="59"/>
  <c r="Z25" i="59"/>
  <c r="X25" i="59"/>
  <c r="N25" i="59"/>
  <c r="L25" i="59"/>
  <c r="J25" i="59"/>
  <c r="B25" i="59"/>
  <c r="Z24" i="59"/>
  <c r="X24" i="59"/>
  <c r="L24" i="59"/>
  <c r="N24" i="59" s="1"/>
  <c r="J24" i="59"/>
  <c r="B24" i="59"/>
  <c r="X23" i="59"/>
  <c r="Z23" i="59" s="1"/>
  <c r="N23" i="59"/>
  <c r="L23" i="59"/>
  <c r="J23" i="59"/>
  <c r="B23" i="59"/>
  <c r="Z22" i="59"/>
  <c r="X22" i="59"/>
  <c r="R22" i="59"/>
  <c r="L22" i="59"/>
  <c r="N22" i="59" s="1"/>
  <c r="J22" i="59"/>
  <c r="B22" i="59"/>
  <c r="X21" i="59"/>
  <c r="Z21" i="59" s="1"/>
  <c r="V21" i="59"/>
  <c r="L21" i="59"/>
  <c r="N21" i="59" s="1"/>
  <c r="J21" i="59"/>
  <c r="B21" i="59"/>
  <c r="X20" i="59"/>
  <c r="Z20" i="59" s="1"/>
  <c r="R20" i="59"/>
  <c r="N20" i="59"/>
  <c r="L20" i="59"/>
  <c r="J20" i="59"/>
  <c r="B20" i="59"/>
  <c r="T19" i="59"/>
  <c r="P19" i="59"/>
  <c r="X19" i="59" s="1"/>
  <c r="Z19" i="59" s="1"/>
  <c r="J19" i="59"/>
  <c r="H19" i="59"/>
  <c r="N19" i="59" s="1"/>
  <c r="D19" i="59"/>
  <c r="L19" i="59" s="1"/>
  <c r="B19" i="59"/>
  <c r="T18" i="59"/>
  <c r="P18" i="59"/>
  <c r="X18" i="59" s="1"/>
  <c r="J18" i="59"/>
  <c r="H18" i="59"/>
  <c r="D18" i="59"/>
  <c r="L18" i="59" s="1"/>
  <c r="N18" i="59" s="1"/>
  <c r="J16" i="59"/>
  <c r="H16" i="59"/>
  <c r="N16" i="59" s="1"/>
  <c r="T14" i="59"/>
  <c r="Z14" i="59" s="1"/>
  <c r="P14" i="59"/>
  <c r="X14" i="59" s="1"/>
  <c r="N14" i="59"/>
  <c r="J14" i="59"/>
  <c r="H14" i="59"/>
  <c r="D14" i="59"/>
  <c r="L14" i="59" s="1"/>
  <c r="X12" i="59"/>
  <c r="T12" i="59"/>
  <c r="V45" i="59" s="1"/>
  <c r="P12" i="59"/>
  <c r="R64" i="59" s="1"/>
  <c r="N12" i="59"/>
  <c r="H12" i="59"/>
  <c r="J36" i="59" s="1"/>
  <c r="D12" i="59"/>
  <c r="F46" i="59" s="1"/>
  <c r="D6" i="59"/>
  <c r="D4" i="59"/>
  <c r="Z76" i="58"/>
  <c r="X76" i="58"/>
  <c r="N76" i="58"/>
  <c r="L76" i="58"/>
  <c r="X72" i="58"/>
  <c r="T72" i="58"/>
  <c r="Z72" i="58" s="1"/>
  <c r="P72" i="58"/>
  <c r="H72" i="58"/>
  <c r="N72" i="58" s="1"/>
  <c r="D72" i="58"/>
  <c r="L72" i="58" s="1"/>
  <c r="Z70" i="58"/>
  <c r="X70" i="58"/>
  <c r="L70" i="58"/>
  <c r="N70" i="58" s="1"/>
  <c r="B70" i="58"/>
  <c r="T69" i="58"/>
  <c r="P69" i="58"/>
  <c r="X69" i="58" s="1"/>
  <c r="Z69" i="58" s="1"/>
  <c r="N69" i="58"/>
  <c r="L69" i="58"/>
  <c r="H69" i="58"/>
  <c r="D69" i="58"/>
  <c r="B69" i="58"/>
  <c r="Z68" i="58"/>
  <c r="X68" i="58"/>
  <c r="N68" i="58"/>
  <c r="L68" i="58"/>
  <c r="B68" i="58"/>
  <c r="Z67" i="58"/>
  <c r="X67" i="58"/>
  <c r="T67" i="58"/>
  <c r="P67" i="58"/>
  <c r="L67" i="58"/>
  <c r="N67" i="58" s="1"/>
  <c r="H67" i="58"/>
  <c r="D67" i="58"/>
  <c r="B67" i="58"/>
  <c r="Z66" i="58"/>
  <c r="X66" i="58"/>
  <c r="V66" i="58"/>
  <c r="N66" i="58"/>
  <c r="L66" i="58"/>
  <c r="B66" i="58"/>
  <c r="X65" i="58"/>
  <c r="Z65" i="58" s="1"/>
  <c r="N65" i="58"/>
  <c r="L65" i="58"/>
  <c r="B65" i="58"/>
  <c r="Z64" i="58"/>
  <c r="X64" i="58"/>
  <c r="N64" i="58"/>
  <c r="L64" i="58"/>
  <c r="B64" i="58"/>
  <c r="Z63" i="58"/>
  <c r="X63" i="58"/>
  <c r="N63" i="58"/>
  <c r="L63" i="58"/>
  <c r="B63" i="58"/>
  <c r="T62" i="58"/>
  <c r="P62" i="58"/>
  <c r="X62" i="58" s="1"/>
  <c r="Z62" i="58" s="1"/>
  <c r="N62" i="58"/>
  <c r="L62" i="58"/>
  <c r="H62" i="58"/>
  <c r="D62" i="58"/>
  <c r="B62" i="58"/>
  <c r="Z61" i="58"/>
  <c r="X61" i="58"/>
  <c r="N61" i="58"/>
  <c r="L61" i="58"/>
  <c r="B61" i="58"/>
  <c r="Z60" i="58"/>
  <c r="X60" i="58"/>
  <c r="T60" i="58"/>
  <c r="P60" i="58"/>
  <c r="L60" i="58"/>
  <c r="H60" i="58"/>
  <c r="N60" i="58" s="1"/>
  <c r="D60" i="58"/>
  <c r="B60" i="58"/>
  <c r="Z59" i="58"/>
  <c r="X59" i="58"/>
  <c r="R59" i="58"/>
  <c r="N59" i="58"/>
  <c r="L59" i="58"/>
  <c r="B59" i="58"/>
  <c r="X58" i="58"/>
  <c r="Z58" i="58" s="1"/>
  <c r="V58" i="58"/>
  <c r="N58" i="58"/>
  <c r="L58" i="58"/>
  <c r="B58" i="58"/>
  <c r="X57" i="58"/>
  <c r="Z57" i="58" s="1"/>
  <c r="T57" i="58"/>
  <c r="P57" i="58"/>
  <c r="H57" i="58"/>
  <c r="D57" i="58"/>
  <c r="B57" i="58"/>
  <c r="Z56" i="58"/>
  <c r="X56" i="58"/>
  <c r="R56" i="58"/>
  <c r="N56" i="58"/>
  <c r="L56" i="58"/>
  <c r="B56" i="58"/>
  <c r="X55" i="58"/>
  <c r="Z55" i="58" s="1"/>
  <c r="R55" i="58"/>
  <c r="N55" i="58"/>
  <c r="L55" i="58"/>
  <c r="B55" i="58"/>
  <c r="Z54" i="58"/>
  <c r="X54" i="58"/>
  <c r="V54" i="58"/>
  <c r="N54" i="58"/>
  <c r="L54" i="58"/>
  <c r="B54" i="58"/>
  <c r="X53" i="58"/>
  <c r="Z53" i="58" s="1"/>
  <c r="T53" i="58"/>
  <c r="P53" i="58"/>
  <c r="H53" i="58"/>
  <c r="D53" i="58"/>
  <c r="L53" i="58" s="1"/>
  <c r="B53" i="58"/>
  <c r="Z52" i="58"/>
  <c r="X52" i="58"/>
  <c r="R52" i="58"/>
  <c r="N52" i="58"/>
  <c r="L52" i="58"/>
  <c r="B52" i="58"/>
  <c r="T51" i="58"/>
  <c r="P51" i="58"/>
  <c r="H51" i="58"/>
  <c r="D51" i="58"/>
  <c r="L51" i="58" s="1"/>
  <c r="N51" i="58" s="1"/>
  <c r="B51" i="58"/>
  <c r="Z50" i="58"/>
  <c r="X50" i="58"/>
  <c r="N50" i="58"/>
  <c r="L50" i="58"/>
  <c r="B50" i="58"/>
  <c r="Z49" i="58"/>
  <c r="T49" i="58"/>
  <c r="R49" i="58"/>
  <c r="P49" i="58"/>
  <c r="X49" i="58" s="1"/>
  <c r="N49" i="58"/>
  <c r="L49" i="58"/>
  <c r="H49" i="58"/>
  <c r="D49" i="58"/>
  <c r="B49" i="58"/>
  <c r="Z48" i="58"/>
  <c r="X48" i="58"/>
  <c r="N48" i="58"/>
  <c r="L48" i="58"/>
  <c r="B48" i="58"/>
  <c r="Z47" i="58"/>
  <c r="X47" i="58"/>
  <c r="T47" i="58"/>
  <c r="P47" i="58"/>
  <c r="N47" i="58"/>
  <c r="L47" i="58"/>
  <c r="H47" i="58"/>
  <c r="D47" i="58"/>
  <c r="B47" i="58"/>
  <c r="X46" i="58"/>
  <c r="Z46" i="58" s="1"/>
  <c r="V46" i="58"/>
  <c r="N46" i="58"/>
  <c r="L46" i="58"/>
  <c r="B46" i="58"/>
  <c r="X45" i="58"/>
  <c r="Z45" i="58" s="1"/>
  <c r="T45" i="58"/>
  <c r="P45" i="58"/>
  <c r="H45" i="58"/>
  <c r="D45" i="58"/>
  <c r="L45" i="58" s="1"/>
  <c r="B45" i="58"/>
  <c r="Z44" i="58"/>
  <c r="X44" i="58"/>
  <c r="R44" i="58"/>
  <c r="N44" i="58"/>
  <c r="L44" i="58"/>
  <c r="B44" i="58"/>
  <c r="V43" i="58"/>
  <c r="T43" i="58"/>
  <c r="R43" i="58"/>
  <c r="P43" i="58"/>
  <c r="H43" i="58"/>
  <c r="D43" i="58"/>
  <c r="L43" i="58" s="1"/>
  <c r="N43" i="58" s="1"/>
  <c r="B43" i="58"/>
  <c r="Z42" i="58"/>
  <c r="X42" i="58"/>
  <c r="L42" i="58"/>
  <c r="N42" i="58" s="1"/>
  <c r="B42" i="58"/>
  <c r="T41" i="58"/>
  <c r="R41" i="58"/>
  <c r="P41" i="58"/>
  <c r="X41" i="58" s="1"/>
  <c r="Z41" i="58" s="1"/>
  <c r="N41" i="58"/>
  <c r="L41" i="58"/>
  <c r="H41" i="58"/>
  <c r="D41" i="58"/>
  <c r="B41" i="58"/>
  <c r="Z40" i="58"/>
  <c r="X40" i="58"/>
  <c r="N40" i="58"/>
  <c r="L40" i="58"/>
  <c r="B40" i="58"/>
  <c r="Z39" i="58"/>
  <c r="X39" i="58"/>
  <c r="N39" i="58"/>
  <c r="L39" i="58"/>
  <c r="B39" i="58"/>
  <c r="Z38" i="58"/>
  <c r="X38" i="58"/>
  <c r="N38" i="58"/>
  <c r="L38" i="58"/>
  <c r="B38" i="58"/>
  <c r="Z37" i="58"/>
  <c r="X37" i="58"/>
  <c r="N37" i="58"/>
  <c r="L37" i="58"/>
  <c r="B37" i="58"/>
  <c r="Z36" i="58"/>
  <c r="X36" i="58"/>
  <c r="R36" i="58"/>
  <c r="N36" i="58"/>
  <c r="L36" i="58"/>
  <c r="B36" i="58"/>
  <c r="X35" i="58"/>
  <c r="Z35" i="58" s="1"/>
  <c r="V35" i="58"/>
  <c r="R35" i="58"/>
  <c r="N35" i="58"/>
  <c r="L35" i="58"/>
  <c r="B35" i="58"/>
  <c r="X34" i="58"/>
  <c r="Z34" i="58" s="1"/>
  <c r="V34" i="58"/>
  <c r="R34" i="58"/>
  <c r="N34" i="58"/>
  <c r="L34" i="58"/>
  <c r="B34" i="58"/>
  <c r="Z33" i="58"/>
  <c r="X33" i="58"/>
  <c r="R33" i="58"/>
  <c r="N33" i="58"/>
  <c r="L33" i="58"/>
  <c r="B33" i="58"/>
  <c r="Z32" i="58"/>
  <c r="X32" i="58"/>
  <c r="N32" i="58"/>
  <c r="L32" i="58"/>
  <c r="B32" i="58"/>
  <c r="Z31" i="58"/>
  <c r="X31" i="58"/>
  <c r="L31" i="58"/>
  <c r="N31" i="58" s="1"/>
  <c r="B31" i="58"/>
  <c r="T30" i="58"/>
  <c r="P30" i="58"/>
  <c r="X30" i="58" s="1"/>
  <c r="Z30" i="58" s="1"/>
  <c r="N30" i="58"/>
  <c r="L30" i="58"/>
  <c r="H30" i="58"/>
  <c r="D30" i="58"/>
  <c r="B30" i="58"/>
  <c r="Z29" i="58"/>
  <c r="X29" i="58"/>
  <c r="V29" i="58"/>
  <c r="R29" i="58"/>
  <c r="L29" i="58"/>
  <c r="N29" i="58" s="1"/>
  <c r="B29" i="58"/>
  <c r="Z28" i="58"/>
  <c r="X28" i="58"/>
  <c r="N28" i="58"/>
  <c r="L28" i="58"/>
  <c r="B28" i="58"/>
  <c r="Z27" i="58"/>
  <c r="X27" i="58"/>
  <c r="R27" i="58"/>
  <c r="L27" i="58"/>
  <c r="N27" i="58" s="1"/>
  <c r="J27" i="58"/>
  <c r="B27" i="58"/>
  <c r="Z26" i="58"/>
  <c r="X26" i="58"/>
  <c r="N26" i="58"/>
  <c r="L26" i="58"/>
  <c r="B26" i="58"/>
  <c r="X25" i="58"/>
  <c r="Z25" i="58" s="1"/>
  <c r="L25" i="58"/>
  <c r="N25" i="58" s="1"/>
  <c r="B25" i="58"/>
  <c r="Z24" i="58"/>
  <c r="X24" i="58"/>
  <c r="R24" i="58"/>
  <c r="N24" i="58"/>
  <c r="L24" i="58"/>
  <c r="B24" i="58"/>
  <c r="X23" i="58"/>
  <c r="Z23" i="58" s="1"/>
  <c r="V23" i="58"/>
  <c r="R23" i="58"/>
  <c r="N23" i="58"/>
  <c r="L23" i="58"/>
  <c r="B23" i="58"/>
  <c r="X22" i="58"/>
  <c r="Z22" i="58" s="1"/>
  <c r="V22" i="58"/>
  <c r="R22" i="58"/>
  <c r="N22" i="58"/>
  <c r="L22" i="58"/>
  <c r="B22" i="58"/>
  <c r="X21" i="58"/>
  <c r="Z21" i="58" s="1"/>
  <c r="V21" i="58"/>
  <c r="R21" i="58"/>
  <c r="L21" i="58"/>
  <c r="N21" i="58" s="1"/>
  <c r="B21" i="58"/>
  <c r="Z20" i="58"/>
  <c r="X20" i="58"/>
  <c r="V20" i="58"/>
  <c r="R20" i="58"/>
  <c r="N20" i="58"/>
  <c r="L20" i="58"/>
  <c r="B20" i="58"/>
  <c r="Z19" i="58"/>
  <c r="X19" i="58"/>
  <c r="T19" i="58"/>
  <c r="P19" i="58"/>
  <c r="L19" i="58"/>
  <c r="N19" i="58" s="1"/>
  <c r="J19" i="58"/>
  <c r="H19" i="58"/>
  <c r="D19" i="58"/>
  <c r="B19" i="58"/>
  <c r="V18" i="58"/>
  <c r="T18" i="58"/>
  <c r="R18" i="58"/>
  <c r="P18" i="58"/>
  <c r="H18" i="58"/>
  <c r="D18" i="58"/>
  <c r="P16" i="58"/>
  <c r="V14" i="58"/>
  <c r="T14" i="58"/>
  <c r="Z14" i="58" s="1"/>
  <c r="R14" i="58"/>
  <c r="P14" i="58"/>
  <c r="H14" i="58"/>
  <c r="N14" i="58" s="1"/>
  <c r="D14" i="58"/>
  <c r="L14" i="58" s="1"/>
  <c r="Z12" i="58"/>
  <c r="X12" i="58"/>
  <c r="T12" i="58"/>
  <c r="V69" i="58" s="1"/>
  <c r="P12" i="58"/>
  <c r="R76" i="58" s="1"/>
  <c r="H12" i="58"/>
  <c r="J50" i="58" s="1"/>
  <c r="D12" i="58"/>
  <c r="F32" i="58" s="1"/>
  <c r="D6" i="58"/>
  <c r="D4" i="58"/>
  <c r="Z67" i="57"/>
  <c r="X67" i="57"/>
  <c r="N67" i="57"/>
  <c r="L67" i="57"/>
  <c r="Z63" i="57"/>
  <c r="T63" i="57"/>
  <c r="P63" i="57"/>
  <c r="X63" i="57" s="1"/>
  <c r="H63" i="57"/>
  <c r="N63" i="57" s="1"/>
  <c r="D63" i="57"/>
  <c r="L63" i="57" s="1"/>
  <c r="Z61" i="57"/>
  <c r="X61" i="57"/>
  <c r="N61" i="57"/>
  <c r="L61" i="57"/>
  <c r="B61" i="57"/>
  <c r="T60" i="57"/>
  <c r="Z60" i="57" s="1"/>
  <c r="P60" i="57"/>
  <c r="N60" i="57"/>
  <c r="H60" i="57"/>
  <c r="D60" i="57"/>
  <c r="L60" i="57" s="1"/>
  <c r="B60" i="57"/>
  <c r="Z59" i="57"/>
  <c r="X59" i="57"/>
  <c r="N59" i="57"/>
  <c r="L59" i="57"/>
  <c r="B59" i="57"/>
  <c r="Z58" i="57"/>
  <c r="T58" i="57"/>
  <c r="P58" i="57"/>
  <c r="X58" i="57" s="1"/>
  <c r="N58" i="57"/>
  <c r="L58" i="57"/>
  <c r="H58" i="57"/>
  <c r="D58" i="57"/>
  <c r="B58" i="57"/>
  <c r="Z57" i="57"/>
  <c r="X57" i="57"/>
  <c r="L57" i="57"/>
  <c r="N57" i="57" s="1"/>
  <c r="B57" i="57"/>
  <c r="T56" i="57"/>
  <c r="P56" i="57"/>
  <c r="L56" i="57"/>
  <c r="H56" i="57"/>
  <c r="N56" i="57" s="1"/>
  <c r="D56" i="57"/>
  <c r="B56" i="57"/>
  <c r="X55" i="57"/>
  <c r="Z55" i="57" s="1"/>
  <c r="N55" i="57"/>
  <c r="L55" i="57"/>
  <c r="B55" i="57"/>
  <c r="T54" i="57"/>
  <c r="P54" i="57"/>
  <c r="X54" i="57" s="1"/>
  <c r="H54" i="57"/>
  <c r="D54" i="57"/>
  <c r="L54" i="57" s="1"/>
  <c r="N54" i="57" s="1"/>
  <c r="B54" i="57"/>
  <c r="X53" i="57"/>
  <c r="Z53" i="57" s="1"/>
  <c r="L53" i="57"/>
  <c r="N53" i="57" s="1"/>
  <c r="B53" i="57"/>
  <c r="T52" i="57"/>
  <c r="P52" i="57"/>
  <c r="L52" i="57"/>
  <c r="N52" i="57" s="1"/>
  <c r="H52" i="57"/>
  <c r="D52" i="57"/>
  <c r="B52" i="57"/>
  <c r="X51" i="57"/>
  <c r="Z51" i="57" s="1"/>
  <c r="V51" i="57"/>
  <c r="L51" i="57"/>
  <c r="N51" i="57" s="1"/>
  <c r="B51" i="57"/>
  <c r="X50" i="57"/>
  <c r="Z50" i="57" s="1"/>
  <c r="V50" i="57"/>
  <c r="N50" i="57"/>
  <c r="L50" i="57"/>
  <c r="B50" i="57"/>
  <c r="Z49" i="57"/>
  <c r="X49" i="57"/>
  <c r="V49" i="57"/>
  <c r="N49" i="57"/>
  <c r="L49" i="57"/>
  <c r="B49" i="57"/>
  <c r="X48" i="57"/>
  <c r="T48" i="57"/>
  <c r="Z48" i="57" s="1"/>
  <c r="P48" i="57"/>
  <c r="H48" i="57"/>
  <c r="D48" i="57"/>
  <c r="L48" i="57" s="1"/>
  <c r="B48" i="57"/>
  <c r="Z47" i="57"/>
  <c r="X47" i="57"/>
  <c r="N47" i="57"/>
  <c r="L47" i="57"/>
  <c r="B47" i="57"/>
  <c r="T46" i="57"/>
  <c r="P46" i="57"/>
  <c r="X46" i="57" s="1"/>
  <c r="H46" i="57"/>
  <c r="D46" i="57"/>
  <c r="L46" i="57" s="1"/>
  <c r="N46" i="57" s="1"/>
  <c r="B46" i="57"/>
  <c r="X45" i="57"/>
  <c r="Z45" i="57" s="1"/>
  <c r="L45" i="57"/>
  <c r="N45" i="57" s="1"/>
  <c r="J45" i="57"/>
  <c r="B45" i="57"/>
  <c r="T44" i="57"/>
  <c r="P44" i="57"/>
  <c r="X44" i="57" s="1"/>
  <c r="Z44" i="57" s="1"/>
  <c r="H44" i="57"/>
  <c r="D44" i="57"/>
  <c r="B44" i="57"/>
  <c r="Z43" i="57"/>
  <c r="X43" i="57"/>
  <c r="N43" i="57"/>
  <c r="L43" i="57"/>
  <c r="B43" i="57"/>
  <c r="T42" i="57"/>
  <c r="P42" i="57"/>
  <c r="L42" i="57"/>
  <c r="H42" i="57"/>
  <c r="N42" i="57" s="1"/>
  <c r="D42" i="57"/>
  <c r="B42" i="57"/>
  <c r="X41" i="57"/>
  <c r="Z41" i="57" s="1"/>
  <c r="V41" i="57"/>
  <c r="N41" i="57"/>
  <c r="L41" i="57"/>
  <c r="B41" i="57"/>
  <c r="X40" i="57"/>
  <c r="T40" i="57"/>
  <c r="Z40" i="57" s="1"/>
  <c r="P40" i="57"/>
  <c r="H40" i="57"/>
  <c r="N40" i="57" s="1"/>
  <c r="D40" i="57"/>
  <c r="L40" i="57" s="1"/>
  <c r="B40" i="57"/>
  <c r="Z39" i="57"/>
  <c r="X39" i="57"/>
  <c r="N39" i="57"/>
  <c r="L39" i="57"/>
  <c r="B39" i="57"/>
  <c r="Z38" i="57"/>
  <c r="X38" i="57"/>
  <c r="N38" i="57"/>
  <c r="L38" i="57"/>
  <c r="B38" i="57"/>
  <c r="X37" i="57"/>
  <c r="Z37" i="57" s="1"/>
  <c r="V37" i="57"/>
  <c r="N37" i="57"/>
  <c r="L37" i="57"/>
  <c r="B37" i="57"/>
  <c r="Z36" i="57"/>
  <c r="X36" i="57"/>
  <c r="N36" i="57"/>
  <c r="L36" i="57"/>
  <c r="B36" i="57"/>
  <c r="Z35" i="57"/>
  <c r="X35" i="57"/>
  <c r="N35" i="57"/>
  <c r="L35" i="57"/>
  <c r="B35" i="57"/>
  <c r="Z34" i="57"/>
  <c r="X34" i="57"/>
  <c r="N34" i="57"/>
  <c r="L34" i="57"/>
  <c r="B34" i="57"/>
  <c r="Z33" i="57"/>
  <c r="X33" i="57"/>
  <c r="V33" i="57"/>
  <c r="N33" i="57"/>
  <c r="L33" i="57"/>
  <c r="J33" i="57"/>
  <c r="B33" i="57"/>
  <c r="Z32" i="57"/>
  <c r="X32" i="57"/>
  <c r="N32" i="57"/>
  <c r="L32" i="57"/>
  <c r="B32" i="57"/>
  <c r="Z31" i="57"/>
  <c r="X31" i="57"/>
  <c r="N31" i="57"/>
  <c r="L31" i="57"/>
  <c r="B31" i="57"/>
  <c r="X30" i="57"/>
  <c r="Z30" i="57" s="1"/>
  <c r="N30" i="57"/>
  <c r="L30" i="57"/>
  <c r="B30" i="57"/>
  <c r="V29" i="57"/>
  <c r="T29" i="57"/>
  <c r="P29" i="57"/>
  <c r="X29" i="57" s="1"/>
  <c r="H29" i="57"/>
  <c r="D29" i="57"/>
  <c r="L29" i="57" s="1"/>
  <c r="N29" i="57" s="1"/>
  <c r="B29" i="57"/>
  <c r="X28" i="57"/>
  <c r="Z28" i="57" s="1"/>
  <c r="L28" i="57"/>
  <c r="N28" i="57" s="1"/>
  <c r="B28" i="57"/>
  <c r="Z27" i="57"/>
  <c r="X27" i="57"/>
  <c r="N27" i="57"/>
  <c r="L27" i="57"/>
  <c r="B27" i="57"/>
  <c r="X26" i="57"/>
  <c r="Z26" i="57" s="1"/>
  <c r="N26" i="57"/>
  <c r="L26" i="57"/>
  <c r="B26" i="57"/>
  <c r="Z25" i="57"/>
  <c r="X25" i="57"/>
  <c r="V25" i="57"/>
  <c r="N25" i="57"/>
  <c r="L25" i="57"/>
  <c r="J25" i="57"/>
  <c r="B25" i="57"/>
  <c r="X24" i="57"/>
  <c r="Z24" i="57" s="1"/>
  <c r="V24" i="57"/>
  <c r="L24" i="57"/>
  <c r="N24" i="57" s="1"/>
  <c r="B24" i="57"/>
  <c r="Z23" i="57"/>
  <c r="X23" i="57"/>
  <c r="N23" i="57"/>
  <c r="L23" i="57"/>
  <c r="B23" i="57"/>
  <c r="Z22" i="57"/>
  <c r="X22" i="57"/>
  <c r="L22" i="57"/>
  <c r="N22" i="57" s="1"/>
  <c r="F22" i="57"/>
  <c r="B22" i="57"/>
  <c r="X21" i="57"/>
  <c r="Z21" i="57" s="1"/>
  <c r="V21" i="57"/>
  <c r="L21" i="57"/>
  <c r="N21" i="57" s="1"/>
  <c r="J21" i="57"/>
  <c r="B21" i="57"/>
  <c r="X20" i="57"/>
  <c r="Z20" i="57" s="1"/>
  <c r="L20" i="57"/>
  <c r="N20" i="57" s="1"/>
  <c r="J20" i="57"/>
  <c r="B20" i="57"/>
  <c r="T19" i="57"/>
  <c r="P19" i="57"/>
  <c r="X19" i="57" s="1"/>
  <c r="Z19" i="57" s="1"/>
  <c r="L19" i="57"/>
  <c r="N19" i="57" s="1"/>
  <c r="J19" i="57"/>
  <c r="H19" i="57"/>
  <c r="D19" i="57"/>
  <c r="B19" i="57"/>
  <c r="V18" i="57"/>
  <c r="T18" i="57"/>
  <c r="P18" i="57"/>
  <c r="L18" i="57"/>
  <c r="J18" i="57"/>
  <c r="H18" i="57"/>
  <c r="N18" i="57" s="1"/>
  <c r="D18" i="57"/>
  <c r="T16" i="57"/>
  <c r="T65" i="57" s="1"/>
  <c r="D16" i="57"/>
  <c r="D65" i="57" s="1"/>
  <c r="V14" i="57"/>
  <c r="T14" i="57"/>
  <c r="Z14" i="57" s="1"/>
  <c r="P14" i="57"/>
  <c r="L14" i="57"/>
  <c r="J14" i="57"/>
  <c r="H14" i="57"/>
  <c r="N14" i="57" s="1"/>
  <c r="D14" i="57"/>
  <c r="T12" i="57"/>
  <c r="V54" i="57" s="1"/>
  <c r="P12" i="57"/>
  <c r="R51" i="57" s="1"/>
  <c r="N12" i="57"/>
  <c r="H12" i="57"/>
  <c r="J58" i="57" s="1"/>
  <c r="D12" i="57"/>
  <c r="F49" i="57" s="1"/>
  <c r="D6" i="57"/>
  <c r="D4" i="57"/>
  <c r="Z70" i="56"/>
  <c r="X70" i="56"/>
  <c r="N70" i="56"/>
  <c r="L70" i="56"/>
  <c r="Z66" i="56"/>
  <c r="T66" i="56"/>
  <c r="P66" i="56"/>
  <c r="X66" i="56" s="1"/>
  <c r="H66" i="56"/>
  <c r="N66" i="56" s="1"/>
  <c r="D66" i="56"/>
  <c r="X64" i="56"/>
  <c r="Z64" i="56" s="1"/>
  <c r="L64" i="56"/>
  <c r="N64" i="56" s="1"/>
  <c r="B64" i="56"/>
  <c r="Z63" i="56"/>
  <c r="X63" i="56"/>
  <c r="T63" i="56"/>
  <c r="P63" i="56"/>
  <c r="H63" i="56"/>
  <c r="D63" i="56"/>
  <c r="L63" i="56" s="1"/>
  <c r="B63" i="56"/>
  <c r="Z62" i="56"/>
  <c r="X62" i="56"/>
  <c r="N62" i="56"/>
  <c r="L62" i="56"/>
  <c r="B62" i="56"/>
  <c r="Z61" i="56"/>
  <c r="X61" i="56"/>
  <c r="N61" i="56"/>
  <c r="L61" i="56"/>
  <c r="B61" i="56"/>
  <c r="X60" i="56"/>
  <c r="T60" i="56"/>
  <c r="Z60" i="56" s="1"/>
  <c r="P60" i="56"/>
  <c r="H60" i="56"/>
  <c r="D60" i="56"/>
  <c r="L60" i="56" s="1"/>
  <c r="B60" i="56"/>
  <c r="Z59" i="56"/>
  <c r="X59" i="56"/>
  <c r="N59" i="56"/>
  <c r="L59" i="56"/>
  <c r="B59" i="56"/>
  <c r="T58" i="56"/>
  <c r="P58" i="56"/>
  <c r="X58" i="56" s="1"/>
  <c r="H58" i="56"/>
  <c r="D58" i="56"/>
  <c r="L58" i="56" s="1"/>
  <c r="N58" i="56" s="1"/>
  <c r="B58" i="56"/>
  <c r="Z57" i="56"/>
  <c r="X57" i="56"/>
  <c r="N57" i="56"/>
  <c r="L57" i="56"/>
  <c r="B57" i="56"/>
  <c r="X56" i="56"/>
  <c r="Z56" i="56" s="1"/>
  <c r="L56" i="56"/>
  <c r="N56" i="56" s="1"/>
  <c r="B56" i="56"/>
  <c r="T55" i="56"/>
  <c r="P55" i="56"/>
  <c r="X55" i="56" s="1"/>
  <c r="Z55" i="56" s="1"/>
  <c r="N55" i="56"/>
  <c r="L55" i="56"/>
  <c r="H55" i="56"/>
  <c r="D55" i="56"/>
  <c r="B55" i="56"/>
  <c r="X54" i="56"/>
  <c r="Z54" i="56" s="1"/>
  <c r="L54" i="56"/>
  <c r="N54" i="56" s="1"/>
  <c r="B54" i="56"/>
  <c r="Z53" i="56"/>
  <c r="X53" i="56"/>
  <c r="L53" i="56"/>
  <c r="N53" i="56" s="1"/>
  <c r="B53" i="56"/>
  <c r="T52" i="56"/>
  <c r="P52" i="56"/>
  <c r="X52" i="56" s="1"/>
  <c r="Z52" i="56" s="1"/>
  <c r="H52" i="56"/>
  <c r="D52" i="56"/>
  <c r="B52" i="56"/>
  <c r="Z51" i="56"/>
  <c r="X51" i="56"/>
  <c r="N51" i="56"/>
  <c r="L51" i="56"/>
  <c r="B51" i="56"/>
  <c r="T50" i="56"/>
  <c r="P50" i="56"/>
  <c r="L50" i="56"/>
  <c r="H50" i="56"/>
  <c r="N50" i="56" s="1"/>
  <c r="D50" i="56"/>
  <c r="B50" i="56"/>
  <c r="X49" i="56"/>
  <c r="Z49" i="56" s="1"/>
  <c r="V49" i="56"/>
  <c r="N49" i="56"/>
  <c r="L49" i="56"/>
  <c r="B49" i="56"/>
  <c r="X48" i="56"/>
  <c r="T48" i="56"/>
  <c r="Z48" i="56" s="1"/>
  <c r="P48" i="56"/>
  <c r="H48" i="56"/>
  <c r="N48" i="56" s="1"/>
  <c r="D48" i="56"/>
  <c r="L48" i="56" s="1"/>
  <c r="B48" i="56"/>
  <c r="Z47" i="56"/>
  <c r="X47" i="56"/>
  <c r="N47" i="56"/>
  <c r="L47" i="56"/>
  <c r="B47" i="56"/>
  <c r="T46" i="56"/>
  <c r="Z46" i="56" s="1"/>
  <c r="P46" i="56"/>
  <c r="X46" i="56" s="1"/>
  <c r="H46" i="56"/>
  <c r="D46" i="56"/>
  <c r="L46" i="56" s="1"/>
  <c r="N46" i="56" s="1"/>
  <c r="B46" i="56"/>
  <c r="Z45" i="56"/>
  <c r="X45" i="56"/>
  <c r="V45" i="56"/>
  <c r="N45" i="56"/>
  <c r="L45" i="56"/>
  <c r="J45" i="56"/>
  <c r="B45" i="56"/>
  <c r="T44" i="56"/>
  <c r="P44" i="56"/>
  <c r="X44" i="56" s="1"/>
  <c r="Z44" i="56" s="1"/>
  <c r="H44" i="56"/>
  <c r="D44" i="56"/>
  <c r="B44" i="56"/>
  <c r="Z43" i="56"/>
  <c r="X43" i="56"/>
  <c r="N43" i="56"/>
  <c r="L43" i="56"/>
  <c r="B43" i="56"/>
  <c r="T42" i="56"/>
  <c r="P42" i="56"/>
  <c r="L42" i="56"/>
  <c r="H42" i="56"/>
  <c r="N42" i="56" s="1"/>
  <c r="D42" i="56"/>
  <c r="B42" i="56"/>
  <c r="Z41" i="56"/>
  <c r="X41" i="56"/>
  <c r="V41" i="56"/>
  <c r="N41" i="56"/>
  <c r="L41" i="56"/>
  <c r="J41" i="56"/>
  <c r="B41" i="56"/>
  <c r="X40" i="56"/>
  <c r="T40" i="56"/>
  <c r="Z40" i="56" s="1"/>
  <c r="P40" i="56"/>
  <c r="H40" i="56"/>
  <c r="N40" i="56" s="1"/>
  <c r="D40" i="56"/>
  <c r="L40" i="56" s="1"/>
  <c r="B40" i="56"/>
  <c r="Z39" i="56"/>
  <c r="X39" i="56"/>
  <c r="N39" i="56"/>
  <c r="L39" i="56"/>
  <c r="B39" i="56"/>
  <c r="Z38" i="56"/>
  <c r="X38" i="56"/>
  <c r="N38" i="56"/>
  <c r="L38" i="56"/>
  <c r="B38" i="56"/>
  <c r="Z37" i="56"/>
  <c r="X37" i="56"/>
  <c r="V37" i="56"/>
  <c r="N37" i="56"/>
  <c r="L37" i="56"/>
  <c r="J37" i="56"/>
  <c r="B37" i="56"/>
  <c r="Z36" i="56"/>
  <c r="X36" i="56"/>
  <c r="N36" i="56"/>
  <c r="L36" i="56"/>
  <c r="B36" i="56"/>
  <c r="Z35" i="56"/>
  <c r="X35" i="56"/>
  <c r="N35" i="56"/>
  <c r="L35" i="56"/>
  <c r="B35" i="56"/>
  <c r="Z34" i="56"/>
  <c r="X34" i="56"/>
  <c r="N34" i="56"/>
  <c r="L34" i="56"/>
  <c r="B34" i="56"/>
  <c r="Z33" i="56"/>
  <c r="X33" i="56"/>
  <c r="V33" i="56"/>
  <c r="N33" i="56"/>
  <c r="L33" i="56"/>
  <c r="J33" i="56"/>
  <c r="B33" i="56"/>
  <c r="Z32" i="56"/>
  <c r="X32" i="56"/>
  <c r="N32" i="56"/>
  <c r="L32" i="56"/>
  <c r="B32" i="56"/>
  <c r="Z31" i="56"/>
  <c r="X31" i="56"/>
  <c r="N31" i="56"/>
  <c r="L31" i="56"/>
  <c r="B31" i="56"/>
  <c r="X30" i="56"/>
  <c r="Z30" i="56" s="1"/>
  <c r="L30" i="56"/>
  <c r="N30" i="56" s="1"/>
  <c r="B30" i="56"/>
  <c r="V29" i="56"/>
  <c r="T29" i="56"/>
  <c r="Z29" i="56" s="1"/>
  <c r="P29" i="56"/>
  <c r="X29" i="56" s="1"/>
  <c r="H29" i="56"/>
  <c r="D29" i="56"/>
  <c r="L29" i="56" s="1"/>
  <c r="N29" i="56" s="1"/>
  <c r="B29" i="56"/>
  <c r="X28" i="56"/>
  <c r="Z28" i="56" s="1"/>
  <c r="L28" i="56"/>
  <c r="N28" i="56" s="1"/>
  <c r="B28" i="56"/>
  <c r="Z27" i="56"/>
  <c r="X27" i="56"/>
  <c r="L27" i="56"/>
  <c r="N27" i="56" s="1"/>
  <c r="B27" i="56"/>
  <c r="X26" i="56"/>
  <c r="Z26" i="56" s="1"/>
  <c r="N26" i="56"/>
  <c r="L26" i="56"/>
  <c r="B26" i="56"/>
  <c r="Z25" i="56"/>
  <c r="X25" i="56"/>
  <c r="V25" i="56"/>
  <c r="R25" i="56"/>
  <c r="N25" i="56"/>
  <c r="L25" i="56"/>
  <c r="J25" i="56"/>
  <c r="B25" i="56"/>
  <c r="X24" i="56"/>
  <c r="Z24" i="56" s="1"/>
  <c r="V24" i="56"/>
  <c r="L24" i="56"/>
  <c r="N24" i="56" s="1"/>
  <c r="B24" i="56"/>
  <c r="X23" i="56"/>
  <c r="Z23" i="56" s="1"/>
  <c r="V23" i="56"/>
  <c r="N23" i="56"/>
  <c r="L23" i="56"/>
  <c r="B23" i="56"/>
  <c r="Z22" i="56"/>
  <c r="X22" i="56"/>
  <c r="L22" i="56"/>
  <c r="N22" i="56" s="1"/>
  <c r="B22" i="56"/>
  <c r="Z21" i="56"/>
  <c r="X21" i="56"/>
  <c r="V21" i="56"/>
  <c r="L21" i="56"/>
  <c r="N21" i="56" s="1"/>
  <c r="J21" i="56"/>
  <c r="F21" i="56"/>
  <c r="B21" i="56"/>
  <c r="X20" i="56"/>
  <c r="Z20" i="56" s="1"/>
  <c r="L20" i="56"/>
  <c r="N20" i="56" s="1"/>
  <c r="J20" i="56"/>
  <c r="B20" i="56"/>
  <c r="T19" i="56"/>
  <c r="P19" i="56"/>
  <c r="X19" i="56" s="1"/>
  <c r="Z19" i="56" s="1"/>
  <c r="N19" i="56"/>
  <c r="L19" i="56"/>
  <c r="J19" i="56"/>
  <c r="H19" i="56"/>
  <c r="D19" i="56"/>
  <c r="B19" i="56"/>
  <c r="V18" i="56"/>
  <c r="T18" i="56"/>
  <c r="X18" i="56" s="1"/>
  <c r="Z18" i="56" s="1"/>
  <c r="P18" i="56"/>
  <c r="J18" i="56"/>
  <c r="H18" i="56"/>
  <c r="D18" i="56"/>
  <c r="L18" i="56" s="1"/>
  <c r="R16" i="56"/>
  <c r="Z14" i="56"/>
  <c r="V14" i="56"/>
  <c r="T14" i="56"/>
  <c r="T16" i="56" s="1"/>
  <c r="P14" i="56"/>
  <c r="J14" i="56"/>
  <c r="H14" i="56"/>
  <c r="N14" i="56" s="1"/>
  <c r="D14" i="56"/>
  <c r="L14" i="56" s="1"/>
  <c r="T12" i="56"/>
  <c r="V62" i="56" s="1"/>
  <c r="P12" i="56"/>
  <c r="R72" i="56" s="1"/>
  <c r="N12" i="56"/>
  <c r="H12" i="56"/>
  <c r="J75" i="56" s="1"/>
  <c r="D12" i="56"/>
  <c r="F58" i="56" s="1"/>
  <c r="D6" i="56"/>
  <c r="D4" i="56"/>
  <c r="V38" i="55"/>
  <c r="F38" i="55"/>
  <c r="Z33" i="55"/>
  <c r="X33" i="55"/>
  <c r="V33" i="55"/>
  <c r="R33" i="55"/>
  <c r="N33" i="55"/>
  <c r="L33" i="55"/>
  <c r="V31" i="55"/>
  <c r="F31" i="55"/>
  <c r="X29" i="55"/>
  <c r="T29" i="55"/>
  <c r="Z29" i="55" s="1"/>
  <c r="P29" i="55"/>
  <c r="N29" i="55"/>
  <c r="H29" i="55"/>
  <c r="L29" i="55" s="1"/>
  <c r="D29" i="55"/>
  <c r="X27" i="55"/>
  <c r="Z27" i="55" s="1"/>
  <c r="V27" i="55"/>
  <c r="R27" i="55"/>
  <c r="N27" i="55"/>
  <c r="L27" i="55"/>
  <c r="B27" i="55"/>
  <c r="X26" i="55"/>
  <c r="Z26" i="55" s="1"/>
  <c r="N26" i="55"/>
  <c r="L26" i="55"/>
  <c r="B26" i="55"/>
  <c r="T25" i="55"/>
  <c r="X25" i="55" s="1"/>
  <c r="Z25" i="55" s="1"/>
  <c r="P25" i="55"/>
  <c r="J25" i="55"/>
  <c r="H25" i="55"/>
  <c r="N25" i="55" s="1"/>
  <c r="D25" i="55"/>
  <c r="L25" i="55" s="1"/>
  <c r="B25" i="55"/>
  <c r="Z24" i="55"/>
  <c r="X24" i="55"/>
  <c r="V24" i="55"/>
  <c r="R24" i="55"/>
  <c r="N24" i="55"/>
  <c r="L24" i="55"/>
  <c r="J24" i="55"/>
  <c r="B24" i="55"/>
  <c r="V23" i="55"/>
  <c r="T23" i="55"/>
  <c r="P23" i="55"/>
  <c r="X23" i="55" s="1"/>
  <c r="H23" i="55"/>
  <c r="N23" i="55" s="1"/>
  <c r="F23" i="55"/>
  <c r="D23" i="55"/>
  <c r="L23" i="55" s="1"/>
  <c r="B23" i="55"/>
  <c r="Z22" i="55"/>
  <c r="X22" i="55"/>
  <c r="L22" i="55"/>
  <c r="N22" i="55" s="1"/>
  <c r="B22" i="55"/>
  <c r="T21" i="55"/>
  <c r="Z21" i="55" s="1"/>
  <c r="R21" i="55"/>
  <c r="P21" i="55"/>
  <c r="X21" i="55" s="1"/>
  <c r="L21" i="55"/>
  <c r="H21" i="55"/>
  <c r="N21" i="55" s="1"/>
  <c r="D21" i="55"/>
  <c r="B21" i="55"/>
  <c r="Z20" i="55"/>
  <c r="X20" i="55"/>
  <c r="V20" i="55"/>
  <c r="N20" i="55"/>
  <c r="L20" i="55"/>
  <c r="J20" i="55"/>
  <c r="F20" i="55"/>
  <c r="B20" i="55"/>
  <c r="X19" i="55"/>
  <c r="T19" i="55"/>
  <c r="Z19" i="55" s="1"/>
  <c r="P19" i="55"/>
  <c r="H19" i="55"/>
  <c r="L19" i="55" s="1"/>
  <c r="N19" i="55" s="1"/>
  <c r="D19" i="55"/>
  <c r="B19" i="55"/>
  <c r="X18" i="55"/>
  <c r="Z18" i="55" s="1"/>
  <c r="V18" i="55"/>
  <c r="T18" i="55"/>
  <c r="R18" i="55"/>
  <c r="P18" i="55"/>
  <c r="J18" i="55"/>
  <c r="H18" i="55"/>
  <c r="F18" i="55"/>
  <c r="D18" i="55"/>
  <c r="L18" i="55" s="1"/>
  <c r="R16" i="55"/>
  <c r="P16" i="55"/>
  <c r="P31" i="55" s="1"/>
  <c r="J16" i="55"/>
  <c r="Z14" i="55"/>
  <c r="X14" i="55"/>
  <c r="V14" i="55"/>
  <c r="T14" i="55"/>
  <c r="R14" i="55"/>
  <c r="P14" i="55"/>
  <c r="J14" i="55"/>
  <c r="H14" i="55"/>
  <c r="N14" i="55" s="1"/>
  <c r="F14" i="55"/>
  <c r="D14" i="55"/>
  <c r="L14" i="55" s="1"/>
  <c r="Z12" i="55"/>
  <c r="T12" i="55"/>
  <c r="V21" i="55" s="1"/>
  <c r="P12" i="55"/>
  <c r="R35" i="55" s="1"/>
  <c r="N12" i="55"/>
  <c r="L12" i="55"/>
  <c r="H12" i="55"/>
  <c r="J38" i="55" s="1"/>
  <c r="D12" i="55"/>
  <c r="F26" i="55" s="1"/>
  <c r="D6" i="55"/>
  <c r="D4" i="55"/>
  <c r="R31" i="54"/>
  <c r="Z29" i="54"/>
  <c r="X29" i="54"/>
  <c r="T29" i="54"/>
  <c r="P29" i="54"/>
  <c r="L29" i="54"/>
  <c r="N29" i="54" s="1"/>
  <c r="H29" i="54"/>
  <c r="D29" i="54"/>
  <c r="T28" i="54"/>
  <c r="R28" i="54"/>
  <c r="P28" i="54"/>
  <c r="X28" i="54" s="1"/>
  <c r="H28" i="54"/>
  <c r="D28" i="54"/>
  <c r="L28" i="54" s="1"/>
  <c r="N28" i="54" s="1"/>
  <c r="Z24" i="54"/>
  <c r="X24" i="54"/>
  <c r="R24" i="54"/>
  <c r="N24" i="54"/>
  <c r="L24" i="54"/>
  <c r="R22" i="54"/>
  <c r="Z20" i="54"/>
  <c r="X20" i="54"/>
  <c r="T20" i="54"/>
  <c r="P20" i="54"/>
  <c r="N20" i="54"/>
  <c r="L20" i="54"/>
  <c r="H20" i="54"/>
  <c r="D20" i="54"/>
  <c r="T18" i="54"/>
  <c r="Z18" i="54" s="1"/>
  <c r="R18" i="54"/>
  <c r="P18" i="54"/>
  <c r="X18" i="54" s="1"/>
  <c r="N18" i="54"/>
  <c r="H18" i="54"/>
  <c r="D18" i="54"/>
  <c r="L18" i="54" s="1"/>
  <c r="T14" i="54"/>
  <c r="Z14" i="54" s="1"/>
  <c r="R14" i="54"/>
  <c r="P14" i="54"/>
  <c r="X14" i="54" s="1"/>
  <c r="N14" i="54"/>
  <c r="H14" i="54"/>
  <c r="D14" i="54"/>
  <c r="L14" i="54" s="1"/>
  <c r="T12" i="54"/>
  <c r="V31" i="54" s="1"/>
  <c r="P12" i="54"/>
  <c r="P16" i="54" s="1"/>
  <c r="H12" i="54"/>
  <c r="J29" i="54" s="1"/>
  <c r="D12" i="54"/>
  <c r="L12" i="54" s="1"/>
  <c r="D6" i="54"/>
  <c r="D4" i="54"/>
  <c r="B39" i="53"/>
  <c r="B38" i="53"/>
  <c r="T34" i="53"/>
  <c r="Z34" i="53" s="1"/>
  <c r="P34" i="53"/>
  <c r="H34" i="53"/>
  <c r="D34" i="53"/>
  <c r="T33" i="53"/>
  <c r="Z33" i="53" s="1"/>
  <c r="P33" i="53"/>
  <c r="H33" i="53"/>
  <c r="N33" i="53" s="1"/>
  <c r="D33" i="53"/>
  <c r="T29" i="53"/>
  <c r="Z29" i="53" s="1"/>
  <c r="P29" i="53"/>
  <c r="H29" i="53"/>
  <c r="N29" i="53" s="1"/>
  <c r="D29" i="53"/>
  <c r="T25" i="53"/>
  <c r="Z25" i="53" s="1"/>
  <c r="P25" i="53"/>
  <c r="H25" i="53"/>
  <c r="N25" i="53" s="1"/>
  <c r="D25" i="53"/>
  <c r="B25" i="53"/>
  <c r="T24" i="53"/>
  <c r="Z24" i="53" s="1"/>
  <c r="P24" i="53"/>
  <c r="H24" i="53"/>
  <c r="D24" i="53"/>
  <c r="T22" i="53"/>
  <c r="Z22" i="53" s="1"/>
  <c r="P22" i="53"/>
  <c r="H22" i="53"/>
  <c r="N22" i="53" s="1"/>
  <c r="D22" i="53"/>
  <c r="B22" i="53"/>
  <c r="T21" i="53"/>
  <c r="Z21" i="53" s="1"/>
  <c r="P21" i="53"/>
  <c r="H21" i="53"/>
  <c r="N21" i="53" s="1"/>
  <c r="D21" i="53"/>
  <c r="B21" i="53"/>
  <c r="T20" i="53"/>
  <c r="P20" i="53"/>
  <c r="H20" i="53"/>
  <c r="N20" i="53" s="1"/>
  <c r="D20" i="53"/>
  <c r="T16" i="53"/>
  <c r="P16" i="53"/>
  <c r="H16" i="53"/>
  <c r="N16" i="53" s="1"/>
  <c r="D16" i="53"/>
  <c r="B16" i="53"/>
  <c r="T15" i="53"/>
  <c r="P15" i="53"/>
  <c r="H15" i="53"/>
  <c r="N15" i="53" s="1"/>
  <c r="D15" i="53"/>
  <c r="T13" i="53"/>
  <c r="Z13" i="53" s="1"/>
  <c r="P13" i="53"/>
  <c r="H13" i="53"/>
  <c r="N13" i="53" s="1"/>
  <c r="D13" i="53"/>
  <c r="B13" i="53"/>
  <c r="T12" i="53"/>
  <c r="V18" i="53" s="1"/>
  <c r="P12" i="53"/>
  <c r="R24" i="53" s="1"/>
  <c r="H12" i="53"/>
  <c r="D12" i="53"/>
  <c r="F18" i="53" s="1"/>
  <c r="D5" i="53"/>
  <c r="D4" i="53"/>
  <c r="B39" i="52"/>
  <c r="B38" i="52"/>
  <c r="T34" i="52"/>
  <c r="Z34" i="52" s="1"/>
  <c r="P34" i="52"/>
  <c r="H34" i="52"/>
  <c r="D34" i="52"/>
  <c r="T33" i="52"/>
  <c r="Z33" i="52" s="1"/>
  <c r="P33" i="52"/>
  <c r="H33" i="52"/>
  <c r="N33" i="52" s="1"/>
  <c r="D33" i="52"/>
  <c r="T29" i="52"/>
  <c r="Z29" i="52" s="1"/>
  <c r="P29" i="52"/>
  <c r="H29" i="52"/>
  <c r="N29" i="52" s="1"/>
  <c r="D29" i="52"/>
  <c r="T25" i="52"/>
  <c r="Z25" i="52" s="1"/>
  <c r="P25" i="52"/>
  <c r="H25" i="52"/>
  <c r="N25" i="52" s="1"/>
  <c r="D25" i="52"/>
  <c r="B25" i="52"/>
  <c r="T24" i="52"/>
  <c r="Z24" i="52" s="1"/>
  <c r="P24" i="52"/>
  <c r="H24" i="52"/>
  <c r="N24" i="52" s="1"/>
  <c r="D24" i="52"/>
  <c r="T22" i="52"/>
  <c r="Z22" i="52" s="1"/>
  <c r="P22" i="52"/>
  <c r="H22" i="52"/>
  <c r="N22" i="52" s="1"/>
  <c r="D22" i="52"/>
  <c r="B22" i="52"/>
  <c r="T21" i="52"/>
  <c r="Z21" i="52" s="1"/>
  <c r="P21" i="52"/>
  <c r="H21" i="52"/>
  <c r="N21" i="52" s="1"/>
  <c r="D21" i="52"/>
  <c r="B21" i="52"/>
  <c r="T20" i="52"/>
  <c r="Z20" i="52" s="1"/>
  <c r="P20" i="52"/>
  <c r="H20" i="52"/>
  <c r="N20" i="52" s="1"/>
  <c r="D20" i="52"/>
  <c r="T16" i="52"/>
  <c r="Z16" i="52" s="1"/>
  <c r="P16" i="52"/>
  <c r="H16" i="52"/>
  <c r="N16" i="52" s="1"/>
  <c r="D16" i="52"/>
  <c r="B16" i="52"/>
  <c r="T15" i="52"/>
  <c r="Z15" i="52" s="1"/>
  <c r="P15" i="52"/>
  <c r="H15" i="52"/>
  <c r="N15" i="52" s="1"/>
  <c r="D15" i="52"/>
  <c r="T13" i="52"/>
  <c r="Z13" i="52" s="1"/>
  <c r="P13" i="52"/>
  <c r="H13" i="52"/>
  <c r="N13" i="52" s="1"/>
  <c r="D13" i="52"/>
  <c r="B13" i="52"/>
  <c r="T12" i="52"/>
  <c r="V21" i="52" s="1"/>
  <c r="P12" i="52"/>
  <c r="R34" i="52" s="1"/>
  <c r="H12" i="52"/>
  <c r="J36" i="52" s="1"/>
  <c r="D12" i="52"/>
  <c r="F18" i="52" s="1"/>
  <c r="D5" i="52"/>
  <c r="D4" i="52"/>
  <c r="X80" i="51"/>
  <c r="Z80" i="51" s="1"/>
  <c r="L80" i="51"/>
  <c r="N80" i="51" s="1"/>
  <c r="X76" i="51"/>
  <c r="Z76" i="51" s="1"/>
  <c r="P76" i="51"/>
  <c r="L76" i="51"/>
  <c r="N76" i="51" s="1"/>
  <c r="D76" i="51"/>
  <c r="B76" i="51"/>
  <c r="Z75" i="51"/>
  <c r="P75" i="51"/>
  <c r="X75" i="51" s="1"/>
  <c r="N75" i="51"/>
  <c r="L75" i="51"/>
  <c r="D75" i="51"/>
  <c r="B75" i="51"/>
  <c r="Z74" i="51"/>
  <c r="X74" i="51"/>
  <c r="P74" i="51"/>
  <c r="N74" i="51"/>
  <c r="D74" i="51"/>
  <c r="B74" i="51"/>
  <c r="T73" i="51"/>
  <c r="H73" i="51"/>
  <c r="X71" i="51"/>
  <c r="Z71" i="51" s="1"/>
  <c r="L71" i="51"/>
  <c r="N71" i="51" s="1"/>
  <c r="B71" i="51"/>
  <c r="T70" i="51"/>
  <c r="X70" i="51" s="1"/>
  <c r="Z70" i="51" s="1"/>
  <c r="P70" i="51"/>
  <c r="H70" i="51"/>
  <c r="D70" i="51"/>
  <c r="B70" i="51"/>
  <c r="X69" i="51"/>
  <c r="Z69" i="51" s="1"/>
  <c r="N69" i="51"/>
  <c r="L69" i="51"/>
  <c r="B69" i="51"/>
  <c r="X68" i="51"/>
  <c r="Z68" i="51" s="1"/>
  <c r="L68" i="51"/>
  <c r="N68" i="51" s="1"/>
  <c r="B68" i="51"/>
  <c r="T67" i="51"/>
  <c r="P67" i="51"/>
  <c r="H67" i="51"/>
  <c r="D67" i="51"/>
  <c r="B67" i="51"/>
  <c r="Z66" i="51"/>
  <c r="X66" i="51"/>
  <c r="L66" i="51"/>
  <c r="N66" i="51" s="1"/>
  <c r="B66" i="51"/>
  <c r="T65" i="51"/>
  <c r="P65" i="51"/>
  <c r="X65" i="51" s="1"/>
  <c r="L65" i="51"/>
  <c r="N65" i="51" s="1"/>
  <c r="H65" i="51"/>
  <c r="D65" i="51"/>
  <c r="B65" i="51"/>
  <c r="Z64" i="51"/>
  <c r="X64" i="51"/>
  <c r="L64" i="51"/>
  <c r="N64" i="51" s="1"/>
  <c r="B64" i="51"/>
  <c r="T63" i="51"/>
  <c r="P63" i="51"/>
  <c r="X63" i="51" s="1"/>
  <c r="Z63" i="51" s="1"/>
  <c r="L63" i="51"/>
  <c r="H63" i="51"/>
  <c r="N63" i="51" s="1"/>
  <c r="D63" i="51"/>
  <c r="B63" i="51"/>
  <c r="X62" i="51"/>
  <c r="Z62" i="51" s="1"/>
  <c r="N62" i="51"/>
  <c r="L62" i="51"/>
  <c r="B62" i="51"/>
  <c r="T61" i="51"/>
  <c r="X61" i="51" s="1"/>
  <c r="Z61" i="51" s="1"/>
  <c r="P61" i="51"/>
  <c r="H61" i="51"/>
  <c r="D61" i="51"/>
  <c r="B61" i="51"/>
  <c r="X60" i="51"/>
  <c r="Z60" i="51" s="1"/>
  <c r="L60" i="51"/>
  <c r="N60" i="51" s="1"/>
  <c r="B60" i="51"/>
  <c r="X59" i="51"/>
  <c r="T59" i="51"/>
  <c r="P59" i="51"/>
  <c r="H59" i="51"/>
  <c r="D59" i="51"/>
  <c r="B59" i="51"/>
  <c r="Z58" i="51"/>
  <c r="X58" i="51"/>
  <c r="N58" i="51"/>
  <c r="L58" i="51"/>
  <c r="B58" i="51"/>
  <c r="T57" i="51"/>
  <c r="Z57" i="51" s="1"/>
  <c r="P57" i="51"/>
  <c r="N57" i="51"/>
  <c r="H57" i="51"/>
  <c r="D57" i="51"/>
  <c r="L57" i="51" s="1"/>
  <c r="B57" i="51"/>
  <c r="Z56" i="51"/>
  <c r="X56" i="51"/>
  <c r="L56" i="51"/>
  <c r="N56" i="51" s="1"/>
  <c r="B56" i="51"/>
  <c r="X55" i="51"/>
  <c r="Z55" i="51" s="1"/>
  <c r="T55" i="51"/>
  <c r="P55" i="51"/>
  <c r="H55" i="51"/>
  <c r="D55" i="51"/>
  <c r="B55" i="51"/>
  <c r="Z54" i="51"/>
  <c r="X54" i="51"/>
  <c r="N54" i="51"/>
  <c r="L54" i="51"/>
  <c r="B54" i="51"/>
  <c r="Z53" i="51"/>
  <c r="X53" i="51"/>
  <c r="N53" i="51"/>
  <c r="L53" i="51"/>
  <c r="J53" i="51"/>
  <c r="B53" i="51"/>
  <c r="Z52" i="51"/>
  <c r="X52" i="51"/>
  <c r="L52" i="51"/>
  <c r="N52" i="51" s="1"/>
  <c r="J52" i="51"/>
  <c r="B52" i="51"/>
  <c r="Z51" i="51"/>
  <c r="X51" i="51"/>
  <c r="N51" i="51"/>
  <c r="L51" i="51"/>
  <c r="J51" i="51"/>
  <c r="B51" i="51"/>
  <c r="Z50" i="51"/>
  <c r="X50" i="51"/>
  <c r="N50" i="51"/>
  <c r="L50" i="51"/>
  <c r="J50" i="51"/>
  <c r="B50" i="51"/>
  <c r="Z49" i="51"/>
  <c r="X49" i="51"/>
  <c r="N49" i="51"/>
  <c r="L49" i="51"/>
  <c r="B49" i="51"/>
  <c r="X48" i="51"/>
  <c r="Z48" i="51" s="1"/>
  <c r="R48" i="51"/>
  <c r="N48" i="51"/>
  <c r="L48" i="51"/>
  <c r="B48" i="51"/>
  <c r="Z47" i="51"/>
  <c r="X47" i="51"/>
  <c r="V47" i="51"/>
  <c r="R47" i="51"/>
  <c r="N47" i="51"/>
  <c r="L47" i="51"/>
  <c r="B47" i="51"/>
  <c r="X46" i="51"/>
  <c r="Z46" i="51" s="1"/>
  <c r="N46" i="51"/>
  <c r="L46" i="51"/>
  <c r="B46" i="51"/>
  <c r="Z45" i="51"/>
  <c r="X45" i="51"/>
  <c r="N45" i="51"/>
  <c r="L45" i="51"/>
  <c r="B45" i="51"/>
  <c r="Z44" i="51"/>
  <c r="X44" i="51"/>
  <c r="T44" i="51"/>
  <c r="P44" i="51"/>
  <c r="L44" i="51"/>
  <c r="N44" i="51" s="1"/>
  <c r="J44" i="51"/>
  <c r="H44" i="51"/>
  <c r="D44" i="51"/>
  <c r="B44" i="51"/>
  <c r="X43" i="51"/>
  <c r="Z43" i="51" s="1"/>
  <c r="V43" i="51"/>
  <c r="R43" i="51"/>
  <c r="N43" i="51"/>
  <c r="L43" i="51"/>
  <c r="B43" i="51"/>
  <c r="X42" i="51"/>
  <c r="Z42" i="51" s="1"/>
  <c r="N42" i="51"/>
  <c r="L42" i="51"/>
  <c r="B42" i="51"/>
  <c r="Z41" i="51"/>
  <c r="X41" i="51"/>
  <c r="L41" i="51"/>
  <c r="N41" i="51" s="1"/>
  <c r="B41" i="51"/>
  <c r="Z40" i="51"/>
  <c r="X40" i="51"/>
  <c r="N40" i="51"/>
  <c r="L40" i="51"/>
  <c r="B40" i="51"/>
  <c r="Z39" i="51"/>
  <c r="X39" i="51"/>
  <c r="N39" i="51"/>
  <c r="L39" i="51"/>
  <c r="J39" i="51"/>
  <c r="B39" i="51"/>
  <c r="Z38" i="51"/>
  <c r="X38" i="51"/>
  <c r="L38" i="51"/>
  <c r="N38" i="51" s="1"/>
  <c r="J38" i="51"/>
  <c r="B38" i="51"/>
  <c r="X37" i="51"/>
  <c r="Z37" i="51" s="1"/>
  <c r="N37" i="51"/>
  <c r="L37" i="51"/>
  <c r="B37" i="51"/>
  <c r="X36" i="51"/>
  <c r="Z36" i="51" s="1"/>
  <c r="R36" i="51"/>
  <c r="N36" i="51"/>
  <c r="L36" i="51"/>
  <c r="B36" i="51"/>
  <c r="X35" i="51"/>
  <c r="Z35" i="51" s="1"/>
  <c r="V35" i="51"/>
  <c r="R35" i="51"/>
  <c r="N35" i="51"/>
  <c r="L35" i="51"/>
  <c r="B35" i="51"/>
  <c r="X34" i="51"/>
  <c r="Z34" i="51" s="1"/>
  <c r="N34" i="51"/>
  <c r="L34" i="51"/>
  <c r="B34" i="51"/>
  <c r="Z33" i="51"/>
  <c r="X33" i="51"/>
  <c r="T33" i="51"/>
  <c r="P33" i="51"/>
  <c r="J33" i="51"/>
  <c r="H33" i="51"/>
  <c r="L33" i="51" s="1"/>
  <c r="D33" i="51"/>
  <c r="B33" i="51"/>
  <c r="T32" i="51"/>
  <c r="R32" i="51"/>
  <c r="P32" i="51"/>
  <c r="H32" i="51"/>
  <c r="D32" i="51"/>
  <c r="L32" i="51" s="1"/>
  <c r="Z28" i="51"/>
  <c r="X28" i="51"/>
  <c r="R28" i="51"/>
  <c r="N28" i="51"/>
  <c r="L28" i="51"/>
  <c r="B28" i="51"/>
  <c r="Z27" i="51"/>
  <c r="X27" i="51"/>
  <c r="V27" i="51"/>
  <c r="R27" i="51"/>
  <c r="N27" i="51"/>
  <c r="L27" i="51"/>
  <c r="B27" i="51"/>
  <c r="Z26" i="51"/>
  <c r="X26" i="51"/>
  <c r="N26" i="51"/>
  <c r="L26" i="51"/>
  <c r="B26" i="51"/>
  <c r="Z25" i="51"/>
  <c r="X25" i="51"/>
  <c r="N25" i="51"/>
  <c r="L25" i="51"/>
  <c r="J25" i="51"/>
  <c r="B25" i="51"/>
  <c r="Z24" i="51"/>
  <c r="X24" i="51"/>
  <c r="N24" i="51"/>
  <c r="L24" i="51"/>
  <c r="J24" i="51"/>
  <c r="B24" i="51"/>
  <c r="Z23" i="51"/>
  <c r="X23" i="51"/>
  <c r="N23" i="51"/>
  <c r="L23" i="51"/>
  <c r="J23" i="51"/>
  <c r="B23" i="51"/>
  <c r="Z22" i="51"/>
  <c r="X22" i="51"/>
  <c r="N22" i="51"/>
  <c r="L22" i="51"/>
  <c r="J22" i="51"/>
  <c r="B22" i="51"/>
  <c r="Z21" i="51"/>
  <c r="X21" i="51"/>
  <c r="N21" i="51"/>
  <c r="L21" i="51"/>
  <c r="J21" i="51"/>
  <c r="B21" i="51"/>
  <c r="Z20" i="51"/>
  <c r="X20" i="51"/>
  <c r="R20" i="51"/>
  <c r="N20" i="51"/>
  <c r="L20" i="51"/>
  <c r="B20" i="51"/>
  <c r="X19" i="51"/>
  <c r="Z19" i="51" s="1"/>
  <c r="V19" i="51"/>
  <c r="R19" i="51"/>
  <c r="N19" i="51"/>
  <c r="L19" i="51"/>
  <c r="B19" i="51"/>
  <c r="X18" i="51"/>
  <c r="Z18" i="51" s="1"/>
  <c r="T18" i="51"/>
  <c r="P18" i="51"/>
  <c r="H18" i="51"/>
  <c r="D18" i="51"/>
  <c r="Z16" i="51"/>
  <c r="P16" i="51"/>
  <c r="X16" i="51" s="1"/>
  <c r="N16" i="51"/>
  <c r="D16" i="51"/>
  <c r="B16" i="51"/>
  <c r="Z15" i="51"/>
  <c r="X15" i="51"/>
  <c r="P15" i="51"/>
  <c r="N15" i="51"/>
  <c r="D15" i="51"/>
  <c r="L15" i="51" s="1"/>
  <c r="B15" i="51"/>
  <c r="Z14" i="51"/>
  <c r="X14" i="51"/>
  <c r="P14" i="51"/>
  <c r="D14" i="51"/>
  <c r="L14" i="51" s="1"/>
  <c r="N14" i="51" s="1"/>
  <c r="B14" i="51"/>
  <c r="Z13" i="51"/>
  <c r="X13" i="51"/>
  <c r="P13" i="51"/>
  <c r="D13" i="51"/>
  <c r="L13" i="51" s="1"/>
  <c r="N13" i="51" s="1"/>
  <c r="B13" i="51"/>
  <c r="X12" i="51"/>
  <c r="T12" i="51"/>
  <c r="V68" i="51" s="1"/>
  <c r="P12" i="51"/>
  <c r="R69" i="51" s="1"/>
  <c r="H12" i="51"/>
  <c r="J70" i="51" s="1"/>
  <c r="D4" i="51"/>
  <c r="B39" i="50"/>
  <c r="B38" i="50"/>
  <c r="T34" i="50"/>
  <c r="P34" i="50"/>
  <c r="H34" i="50"/>
  <c r="N34" i="50" s="1"/>
  <c r="D34" i="50"/>
  <c r="T33" i="50"/>
  <c r="Z33" i="50" s="1"/>
  <c r="P33" i="50"/>
  <c r="H33" i="50"/>
  <c r="N33" i="50" s="1"/>
  <c r="D33" i="50"/>
  <c r="T29" i="50"/>
  <c r="Z29" i="50" s="1"/>
  <c r="P29" i="50"/>
  <c r="H29" i="50"/>
  <c r="N29" i="50" s="1"/>
  <c r="D29" i="50"/>
  <c r="T25" i="50"/>
  <c r="Z25" i="50" s="1"/>
  <c r="P25" i="50"/>
  <c r="H25" i="50"/>
  <c r="N25" i="50" s="1"/>
  <c r="D25" i="50"/>
  <c r="B25" i="50"/>
  <c r="T24" i="50"/>
  <c r="Z24" i="50" s="1"/>
  <c r="P24" i="50"/>
  <c r="H24" i="50"/>
  <c r="N24" i="50" s="1"/>
  <c r="D24" i="50"/>
  <c r="T22" i="50"/>
  <c r="Z22" i="50" s="1"/>
  <c r="P22" i="50"/>
  <c r="H22" i="50"/>
  <c r="N22" i="50" s="1"/>
  <c r="D22" i="50"/>
  <c r="B22" i="50"/>
  <c r="T21" i="50"/>
  <c r="Z21" i="50" s="1"/>
  <c r="P21" i="50"/>
  <c r="H21" i="50"/>
  <c r="D21" i="50"/>
  <c r="B21" i="50"/>
  <c r="T20" i="50"/>
  <c r="Z20" i="50" s="1"/>
  <c r="P20" i="50"/>
  <c r="H20" i="50"/>
  <c r="N20" i="50" s="1"/>
  <c r="D20" i="50"/>
  <c r="T16" i="50"/>
  <c r="P16" i="50"/>
  <c r="H16" i="50"/>
  <c r="N16" i="50" s="1"/>
  <c r="D16" i="50"/>
  <c r="B16" i="50"/>
  <c r="T15" i="50"/>
  <c r="Z15" i="50" s="1"/>
  <c r="P15" i="50"/>
  <c r="H15" i="50"/>
  <c r="N15" i="50" s="1"/>
  <c r="D15" i="50"/>
  <c r="T13" i="50"/>
  <c r="Z13" i="50" s="1"/>
  <c r="P13" i="50"/>
  <c r="H13" i="50"/>
  <c r="N13" i="50" s="1"/>
  <c r="D13" i="50"/>
  <c r="B13" i="50"/>
  <c r="T12" i="50"/>
  <c r="P12" i="50"/>
  <c r="R22" i="50" s="1"/>
  <c r="H12" i="50"/>
  <c r="J36" i="50" s="1"/>
  <c r="D12" i="50"/>
  <c r="F20" i="50" s="1"/>
  <c r="D5" i="50"/>
  <c r="D4" i="50"/>
  <c r="B39" i="49"/>
  <c r="B38" i="49"/>
  <c r="T34" i="49"/>
  <c r="P34" i="49"/>
  <c r="H34" i="49"/>
  <c r="D34" i="49"/>
  <c r="T33" i="49"/>
  <c r="Z33" i="49" s="1"/>
  <c r="P33" i="49"/>
  <c r="H33" i="49"/>
  <c r="N33" i="49" s="1"/>
  <c r="D33" i="49"/>
  <c r="T29" i="49"/>
  <c r="Z29" i="49" s="1"/>
  <c r="P29" i="49"/>
  <c r="H29" i="49"/>
  <c r="N29" i="49" s="1"/>
  <c r="D29" i="49"/>
  <c r="T25" i="49"/>
  <c r="Z25" i="49" s="1"/>
  <c r="P25" i="49"/>
  <c r="H25" i="49"/>
  <c r="N25" i="49" s="1"/>
  <c r="D25" i="49"/>
  <c r="B25" i="49"/>
  <c r="T24" i="49"/>
  <c r="Z24" i="49" s="1"/>
  <c r="P24" i="49"/>
  <c r="H24" i="49"/>
  <c r="D24" i="49"/>
  <c r="T22" i="49"/>
  <c r="Z22" i="49" s="1"/>
  <c r="P22" i="49"/>
  <c r="H22" i="49"/>
  <c r="N22" i="49" s="1"/>
  <c r="D22" i="49"/>
  <c r="B22" i="49"/>
  <c r="T21" i="49"/>
  <c r="Z21" i="49" s="1"/>
  <c r="P21" i="49"/>
  <c r="H21" i="49"/>
  <c r="N21" i="49" s="1"/>
  <c r="D21" i="49"/>
  <c r="B21" i="49"/>
  <c r="T20" i="49"/>
  <c r="P20" i="49"/>
  <c r="H20" i="49"/>
  <c r="N20" i="49" s="1"/>
  <c r="D20" i="49"/>
  <c r="T16" i="49"/>
  <c r="P16" i="49"/>
  <c r="H16" i="49"/>
  <c r="N16" i="49" s="1"/>
  <c r="D16" i="49"/>
  <c r="B16" i="49"/>
  <c r="T15" i="49"/>
  <c r="Z15" i="49" s="1"/>
  <c r="P15" i="49"/>
  <c r="H15" i="49"/>
  <c r="N15" i="49" s="1"/>
  <c r="D15" i="49"/>
  <c r="T13" i="49"/>
  <c r="Z13" i="49" s="1"/>
  <c r="P13" i="49"/>
  <c r="H13" i="49"/>
  <c r="N13" i="49" s="1"/>
  <c r="D13" i="49"/>
  <c r="B13" i="49"/>
  <c r="T12" i="49"/>
  <c r="V24" i="49" s="1"/>
  <c r="P12" i="49"/>
  <c r="R36" i="49" s="1"/>
  <c r="H12" i="49"/>
  <c r="J34" i="49" s="1"/>
  <c r="D12" i="49"/>
  <c r="F24" i="49" s="1"/>
  <c r="D5" i="49"/>
  <c r="D4" i="49"/>
  <c r="Z73" i="48"/>
  <c r="X73" i="48"/>
  <c r="N73" i="48"/>
  <c r="L73" i="48"/>
  <c r="Z69" i="48"/>
  <c r="X69" i="48"/>
  <c r="V69" i="48"/>
  <c r="P69" i="48"/>
  <c r="D69" i="48"/>
  <c r="L69" i="48" s="1"/>
  <c r="N69" i="48" s="1"/>
  <c r="B69" i="48"/>
  <c r="T68" i="48"/>
  <c r="P68" i="48"/>
  <c r="X68" i="48" s="1"/>
  <c r="Z68" i="48" s="1"/>
  <c r="H68" i="48"/>
  <c r="X66" i="48"/>
  <c r="Z66" i="48" s="1"/>
  <c r="R66" i="48"/>
  <c r="N66" i="48"/>
  <c r="L66" i="48"/>
  <c r="B66" i="48"/>
  <c r="V65" i="48"/>
  <c r="T65" i="48"/>
  <c r="X65" i="48" s="1"/>
  <c r="P65" i="48"/>
  <c r="H65" i="48"/>
  <c r="D65" i="48"/>
  <c r="L65" i="48" s="1"/>
  <c r="B65" i="48"/>
  <c r="Z64" i="48"/>
  <c r="X64" i="48"/>
  <c r="N64" i="48"/>
  <c r="L64" i="48"/>
  <c r="B64" i="48"/>
  <c r="X63" i="48"/>
  <c r="Z63" i="48" s="1"/>
  <c r="N63" i="48"/>
  <c r="L63" i="48"/>
  <c r="B63" i="48"/>
  <c r="T62" i="48"/>
  <c r="P62" i="48"/>
  <c r="H62" i="48"/>
  <c r="N62" i="48" s="1"/>
  <c r="D62" i="48"/>
  <c r="L62" i="48" s="1"/>
  <c r="B62" i="48"/>
  <c r="Z61" i="48"/>
  <c r="X61" i="48"/>
  <c r="N61" i="48"/>
  <c r="L61" i="48"/>
  <c r="B61" i="48"/>
  <c r="T60" i="48"/>
  <c r="P60" i="48"/>
  <c r="X60" i="48" s="1"/>
  <c r="H60" i="48"/>
  <c r="D60" i="48"/>
  <c r="L60" i="48" s="1"/>
  <c r="N60" i="48" s="1"/>
  <c r="B60" i="48"/>
  <c r="Z59" i="48"/>
  <c r="X59" i="48"/>
  <c r="N59" i="48"/>
  <c r="L59" i="48"/>
  <c r="B59" i="48"/>
  <c r="Z58" i="48"/>
  <c r="X58" i="48"/>
  <c r="L58" i="48"/>
  <c r="N58" i="48" s="1"/>
  <c r="B58" i="48"/>
  <c r="Z57" i="48"/>
  <c r="X57" i="48"/>
  <c r="N57" i="48"/>
  <c r="L57" i="48"/>
  <c r="B57" i="48"/>
  <c r="T56" i="48"/>
  <c r="P56" i="48"/>
  <c r="X56" i="48" s="1"/>
  <c r="H56" i="48"/>
  <c r="D56" i="48"/>
  <c r="L56" i="48" s="1"/>
  <c r="N56" i="48" s="1"/>
  <c r="B56" i="48"/>
  <c r="Z55" i="48"/>
  <c r="X55" i="48"/>
  <c r="N55" i="48"/>
  <c r="L55" i="48"/>
  <c r="B55" i="48"/>
  <c r="T54" i="48"/>
  <c r="P54" i="48"/>
  <c r="X54" i="48" s="1"/>
  <c r="Z54" i="48" s="1"/>
  <c r="L54" i="48"/>
  <c r="H54" i="48"/>
  <c r="D54" i="48"/>
  <c r="B54" i="48"/>
  <c r="Z53" i="48"/>
  <c r="X53" i="48"/>
  <c r="V53" i="48"/>
  <c r="N53" i="48"/>
  <c r="L53" i="48"/>
  <c r="B53" i="48"/>
  <c r="X52" i="48"/>
  <c r="V52" i="48"/>
  <c r="T52" i="48"/>
  <c r="P52" i="48"/>
  <c r="H52" i="48"/>
  <c r="D52" i="48"/>
  <c r="B52" i="48"/>
  <c r="Z51" i="48"/>
  <c r="X51" i="48"/>
  <c r="N51" i="48"/>
  <c r="L51" i="48"/>
  <c r="B51" i="48"/>
  <c r="T50" i="48"/>
  <c r="R50" i="48"/>
  <c r="P50" i="48"/>
  <c r="H50" i="48"/>
  <c r="D50" i="48"/>
  <c r="L50" i="48" s="1"/>
  <c r="B50" i="48"/>
  <c r="Z49" i="48"/>
  <c r="X49" i="48"/>
  <c r="N49" i="48"/>
  <c r="L49" i="48"/>
  <c r="B49" i="48"/>
  <c r="Z48" i="48"/>
  <c r="X48" i="48"/>
  <c r="N48" i="48"/>
  <c r="L48" i="48"/>
  <c r="B48" i="48"/>
  <c r="T47" i="48"/>
  <c r="R47" i="48"/>
  <c r="P47" i="48"/>
  <c r="X47" i="48" s="1"/>
  <c r="H47" i="48"/>
  <c r="D47" i="48"/>
  <c r="L47" i="48" s="1"/>
  <c r="N47" i="48" s="1"/>
  <c r="B47" i="48"/>
  <c r="Z46" i="48"/>
  <c r="X46" i="48"/>
  <c r="L46" i="48"/>
  <c r="N46" i="48" s="1"/>
  <c r="B46" i="48"/>
  <c r="T45" i="48"/>
  <c r="P45" i="48"/>
  <c r="X45" i="48" s="1"/>
  <c r="Z45" i="48" s="1"/>
  <c r="N45" i="48"/>
  <c r="L45" i="48"/>
  <c r="H45" i="48"/>
  <c r="D45" i="48"/>
  <c r="B45" i="48"/>
  <c r="X44" i="48"/>
  <c r="Z44" i="48" s="1"/>
  <c r="V44" i="48"/>
  <c r="L44" i="48"/>
  <c r="N44" i="48" s="1"/>
  <c r="B44" i="48"/>
  <c r="Z43" i="48"/>
  <c r="X43" i="48"/>
  <c r="T43" i="48"/>
  <c r="P43" i="48"/>
  <c r="H43" i="48"/>
  <c r="L43" i="48" s="1"/>
  <c r="D43" i="48"/>
  <c r="B43" i="48"/>
  <c r="X42" i="48"/>
  <c r="Z42" i="48" s="1"/>
  <c r="R42" i="48"/>
  <c r="N42" i="48"/>
  <c r="L42" i="48"/>
  <c r="B42" i="48"/>
  <c r="V41" i="48"/>
  <c r="T41" i="48"/>
  <c r="X41" i="48" s="1"/>
  <c r="P41" i="48"/>
  <c r="H41" i="48"/>
  <c r="N41" i="48" s="1"/>
  <c r="F41" i="48"/>
  <c r="D41" i="48"/>
  <c r="L41" i="48" s="1"/>
  <c r="B41" i="48"/>
  <c r="Z40" i="48"/>
  <c r="X40" i="48"/>
  <c r="N40" i="48"/>
  <c r="L40" i="48"/>
  <c r="B40" i="48"/>
  <c r="Z39" i="48"/>
  <c r="X39" i="48"/>
  <c r="N39" i="48"/>
  <c r="L39" i="48"/>
  <c r="B39" i="48"/>
  <c r="X38" i="48"/>
  <c r="Z38" i="48" s="1"/>
  <c r="R38" i="48"/>
  <c r="N38" i="48"/>
  <c r="L38" i="48"/>
  <c r="B38" i="48"/>
  <c r="Z37" i="48"/>
  <c r="X37" i="48"/>
  <c r="V37" i="48"/>
  <c r="R37" i="48"/>
  <c r="N37" i="48"/>
  <c r="L37" i="48"/>
  <c r="B37" i="48"/>
  <c r="Z36" i="48"/>
  <c r="X36" i="48"/>
  <c r="V36" i="48"/>
  <c r="N36" i="48"/>
  <c r="L36" i="48"/>
  <c r="B36" i="48"/>
  <c r="Z35" i="48"/>
  <c r="X35" i="48"/>
  <c r="N35" i="48"/>
  <c r="L35" i="48"/>
  <c r="B35" i="48"/>
  <c r="Z34" i="48"/>
  <c r="X34" i="48"/>
  <c r="L34" i="48"/>
  <c r="N34" i="48" s="1"/>
  <c r="B34" i="48"/>
  <c r="Z33" i="48"/>
  <c r="X33" i="48"/>
  <c r="N33" i="48"/>
  <c r="L33" i="48"/>
  <c r="B33" i="48"/>
  <c r="X32" i="48"/>
  <c r="Z32" i="48" s="1"/>
  <c r="L32" i="48"/>
  <c r="N32" i="48" s="1"/>
  <c r="B32" i="48"/>
  <c r="X31" i="48"/>
  <c r="Z31" i="48" s="1"/>
  <c r="N31" i="48"/>
  <c r="L31" i="48"/>
  <c r="B31" i="48"/>
  <c r="T30" i="48"/>
  <c r="R30" i="48"/>
  <c r="P30" i="48"/>
  <c r="H30" i="48"/>
  <c r="D30" i="48"/>
  <c r="L30" i="48" s="1"/>
  <c r="B30" i="48"/>
  <c r="Z29" i="48"/>
  <c r="X29" i="48"/>
  <c r="N29" i="48"/>
  <c r="L29" i="48"/>
  <c r="B29" i="48"/>
  <c r="X28" i="48"/>
  <c r="Z28" i="48" s="1"/>
  <c r="L28" i="48"/>
  <c r="N28" i="48" s="1"/>
  <c r="B28" i="48"/>
  <c r="Z27" i="48"/>
  <c r="X27" i="48"/>
  <c r="N27" i="48"/>
  <c r="L27" i="48"/>
  <c r="B27" i="48"/>
  <c r="Z26" i="48"/>
  <c r="X26" i="48"/>
  <c r="R26" i="48"/>
  <c r="N26" i="48"/>
  <c r="L26" i="48"/>
  <c r="B26" i="48"/>
  <c r="Z25" i="48"/>
  <c r="X25" i="48"/>
  <c r="V25" i="48"/>
  <c r="R25" i="48"/>
  <c r="N25" i="48"/>
  <c r="L25" i="48"/>
  <c r="B25" i="48"/>
  <c r="X24" i="48"/>
  <c r="Z24" i="48" s="1"/>
  <c r="V24" i="48"/>
  <c r="N24" i="48"/>
  <c r="L24" i="48"/>
  <c r="B24" i="48"/>
  <c r="Z23" i="48"/>
  <c r="X23" i="48"/>
  <c r="L23" i="48"/>
  <c r="N23" i="48" s="1"/>
  <c r="B23" i="48"/>
  <c r="Z22" i="48"/>
  <c r="X22" i="48"/>
  <c r="L22" i="48"/>
  <c r="N22" i="48" s="1"/>
  <c r="B22" i="48"/>
  <c r="Z21" i="48"/>
  <c r="X21" i="48"/>
  <c r="N21" i="48"/>
  <c r="L21" i="48"/>
  <c r="B21" i="48"/>
  <c r="T20" i="48"/>
  <c r="P20" i="48"/>
  <c r="X20" i="48" s="1"/>
  <c r="H20" i="48"/>
  <c r="D20" i="48"/>
  <c r="L20" i="48" s="1"/>
  <c r="N20" i="48" s="1"/>
  <c r="B20" i="48"/>
  <c r="Z19" i="48"/>
  <c r="X19" i="48"/>
  <c r="V19" i="48"/>
  <c r="T19" i="48"/>
  <c r="P19" i="48"/>
  <c r="H19" i="48"/>
  <c r="D19" i="48"/>
  <c r="L19" i="48" s="1"/>
  <c r="R17" i="48"/>
  <c r="P17" i="48"/>
  <c r="Z15" i="48"/>
  <c r="X15" i="48"/>
  <c r="T15" i="48"/>
  <c r="V15" i="48" s="1"/>
  <c r="P15" i="48"/>
  <c r="H15" i="48"/>
  <c r="N15" i="48" s="1"/>
  <c r="D15" i="48"/>
  <c r="L15" i="48" s="1"/>
  <c r="P13" i="48"/>
  <c r="X13" i="48" s="1"/>
  <c r="Z13" i="48" s="1"/>
  <c r="D13" i="48"/>
  <c r="D12" i="48" s="1"/>
  <c r="F58" i="48" s="1"/>
  <c r="B13" i="48"/>
  <c r="T12" i="48"/>
  <c r="V66" i="48" s="1"/>
  <c r="P12" i="48"/>
  <c r="R63" i="48" s="1"/>
  <c r="H12" i="48"/>
  <c r="D4" i="48"/>
  <c r="B39" i="47"/>
  <c r="B38" i="47"/>
  <c r="T34" i="47"/>
  <c r="Z34" i="47" s="1"/>
  <c r="P34" i="47"/>
  <c r="H34" i="47"/>
  <c r="N34" i="47" s="1"/>
  <c r="D34" i="47"/>
  <c r="T33" i="47"/>
  <c r="Z33" i="47" s="1"/>
  <c r="P33" i="47"/>
  <c r="H33" i="47"/>
  <c r="N33" i="47" s="1"/>
  <c r="D33" i="47"/>
  <c r="T29" i="47"/>
  <c r="Z29" i="47" s="1"/>
  <c r="P29" i="47"/>
  <c r="H29" i="47"/>
  <c r="N29" i="47" s="1"/>
  <c r="D29" i="47"/>
  <c r="T25" i="47"/>
  <c r="Z25" i="47" s="1"/>
  <c r="P25" i="47"/>
  <c r="H25" i="47"/>
  <c r="N25" i="47" s="1"/>
  <c r="D25" i="47"/>
  <c r="B25" i="47"/>
  <c r="T24" i="47"/>
  <c r="Z24" i="47" s="1"/>
  <c r="P24" i="47"/>
  <c r="H24" i="47"/>
  <c r="N24" i="47" s="1"/>
  <c r="D24" i="47"/>
  <c r="T22" i="47"/>
  <c r="P22" i="47"/>
  <c r="H22" i="47"/>
  <c r="N22" i="47" s="1"/>
  <c r="D22" i="47"/>
  <c r="B22" i="47"/>
  <c r="T21" i="47"/>
  <c r="Z21" i="47" s="1"/>
  <c r="P21" i="47"/>
  <c r="H21" i="47"/>
  <c r="N21" i="47" s="1"/>
  <c r="D21" i="47"/>
  <c r="B21" i="47"/>
  <c r="T20" i="47"/>
  <c r="Z20" i="47" s="1"/>
  <c r="P20" i="47"/>
  <c r="H20" i="47"/>
  <c r="N20" i="47" s="1"/>
  <c r="D20" i="47"/>
  <c r="T16" i="47"/>
  <c r="Z16" i="47" s="1"/>
  <c r="P16" i="47"/>
  <c r="H16" i="47"/>
  <c r="N16" i="47" s="1"/>
  <c r="D16" i="47"/>
  <c r="B16" i="47"/>
  <c r="T15" i="47"/>
  <c r="Z15" i="47" s="1"/>
  <c r="P15" i="47"/>
  <c r="H15" i="47"/>
  <c r="N15" i="47" s="1"/>
  <c r="D15" i="47"/>
  <c r="T13" i="47"/>
  <c r="P13" i="47"/>
  <c r="H13" i="47"/>
  <c r="N13" i="47" s="1"/>
  <c r="D13" i="47"/>
  <c r="B13" i="47"/>
  <c r="T12" i="47"/>
  <c r="V18" i="47" s="1"/>
  <c r="P12" i="47"/>
  <c r="R24" i="47" s="1"/>
  <c r="H12" i="47"/>
  <c r="D12" i="47"/>
  <c r="F18" i="47" s="1"/>
  <c r="D5" i="47"/>
  <c r="D4" i="47"/>
  <c r="B39" i="46"/>
  <c r="B38" i="46"/>
  <c r="T34" i="46"/>
  <c r="Z34" i="46" s="1"/>
  <c r="P34" i="46"/>
  <c r="H34" i="46"/>
  <c r="N34" i="46" s="1"/>
  <c r="D34" i="46"/>
  <c r="T33" i="46"/>
  <c r="Z33" i="46" s="1"/>
  <c r="P33" i="46"/>
  <c r="H33" i="46"/>
  <c r="N33" i="46" s="1"/>
  <c r="D33" i="46"/>
  <c r="T29" i="46"/>
  <c r="Z29" i="46" s="1"/>
  <c r="P29" i="46"/>
  <c r="H29" i="46"/>
  <c r="N29" i="46" s="1"/>
  <c r="D29" i="46"/>
  <c r="T25" i="46"/>
  <c r="Z25" i="46" s="1"/>
  <c r="P25" i="46"/>
  <c r="H25" i="46"/>
  <c r="N25" i="46" s="1"/>
  <c r="D25" i="46"/>
  <c r="B25" i="46"/>
  <c r="T24" i="46"/>
  <c r="Z24" i="46" s="1"/>
  <c r="P24" i="46"/>
  <c r="H24" i="46"/>
  <c r="N24" i="46" s="1"/>
  <c r="D24" i="46"/>
  <c r="T22" i="46"/>
  <c r="P22" i="46"/>
  <c r="H22" i="46"/>
  <c r="N22" i="46" s="1"/>
  <c r="D22" i="46"/>
  <c r="B22" i="46"/>
  <c r="T21" i="46"/>
  <c r="Z21" i="46" s="1"/>
  <c r="P21" i="46"/>
  <c r="H21" i="46"/>
  <c r="N21" i="46" s="1"/>
  <c r="D21" i="46"/>
  <c r="B21" i="46"/>
  <c r="T20" i="46"/>
  <c r="Z20" i="46" s="1"/>
  <c r="P20" i="46"/>
  <c r="H20" i="46"/>
  <c r="N20" i="46" s="1"/>
  <c r="D20" i="46"/>
  <c r="T16" i="46"/>
  <c r="Z16" i="46" s="1"/>
  <c r="P16" i="46"/>
  <c r="H16" i="46"/>
  <c r="N16" i="46" s="1"/>
  <c r="D16" i="46"/>
  <c r="B16" i="46"/>
  <c r="T15" i="46"/>
  <c r="Z15" i="46" s="1"/>
  <c r="P15" i="46"/>
  <c r="H15" i="46"/>
  <c r="N15" i="46" s="1"/>
  <c r="D15" i="46"/>
  <c r="T13" i="46"/>
  <c r="Z13" i="46" s="1"/>
  <c r="P13" i="46"/>
  <c r="H13" i="46"/>
  <c r="N13" i="46" s="1"/>
  <c r="D13" i="46"/>
  <c r="B13" i="46"/>
  <c r="T12" i="46"/>
  <c r="V21" i="46" s="1"/>
  <c r="P12" i="46"/>
  <c r="R34" i="46" s="1"/>
  <c r="H12" i="46"/>
  <c r="J16" i="46" s="1"/>
  <c r="D12" i="46"/>
  <c r="D5" i="46"/>
  <c r="D4" i="46"/>
  <c r="Z99" i="45"/>
  <c r="X99" i="45"/>
  <c r="L99" i="45"/>
  <c r="N99" i="45" s="1"/>
  <c r="Z95" i="45"/>
  <c r="X95" i="45"/>
  <c r="T95" i="45"/>
  <c r="P95" i="45"/>
  <c r="N95" i="45"/>
  <c r="L95" i="45"/>
  <c r="H95" i="45"/>
  <c r="D95" i="45"/>
  <c r="Z93" i="45"/>
  <c r="X93" i="45"/>
  <c r="N93" i="45"/>
  <c r="L93" i="45"/>
  <c r="B93" i="45"/>
  <c r="Z92" i="45"/>
  <c r="X92" i="45"/>
  <c r="N92" i="45"/>
  <c r="L92" i="45"/>
  <c r="B92" i="45"/>
  <c r="Z91" i="45"/>
  <c r="X91" i="45"/>
  <c r="V91" i="45"/>
  <c r="T91" i="45"/>
  <c r="P91" i="45"/>
  <c r="H91" i="45"/>
  <c r="N91" i="45" s="1"/>
  <c r="D91" i="45"/>
  <c r="L91" i="45" s="1"/>
  <c r="B91" i="45"/>
  <c r="X90" i="45"/>
  <c r="Z90" i="45" s="1"/>
  <c r="L90" i="45"/>
  <c r="N90" i="45" s="1"/>
  <c r="B90" i="45"/>
  <c r="T89" i="45"/>
  <c r="P89" i="45"/>
  <c r="X89" i="45" s="1"/>
  <c r="Z89" i="45" s="1"/>
  <c r="H89" i="45"/>
  <c r="D89" i="45"/>
  <c r="L89" i="45" s="1"/>
  <c r="N89" i="45" s="1"/>
  <c r="B89" i="45"/>
  <c r="Z88" i="45"/>
  <c r="X88" i="45"/>
  <c r="N88" i="45"/>
  <c r="L88" i="45"/>
  <c r="B88" i="45"/>
  <c r="X87" i="45"/>
  <c r="Z87" i="45" s="1"/>
  <c r="L87" i="45"/>
  <c r="N87" i="45" s="1"/>
  <c r="B87" i="45"/>
  <c r="T86" i="45"/>
  <c r="P86" i="45"/>
  <c r="X86" i="45" s="1"/>
  <c r="Z86" i="45" s="1"/>
  <c r="H86" i="45"/>
  <c r="L86" i="45" s="1"/>
  <c r="N86" i="45" s="1"/>
  <c r="D86" i="45"/>
  <c r="B86" i="45"/>
  <c r="X85" i="45"/>
  <c r="Z85" i="45" s="1"/>
  <c r="N85" i="45"/>
  <c r="L85" i="45"/>
  <c r="B85" i="45"/>
  <c r="Z84" i="45"/>
  <c r="X84" i="45"/>
  <c r="N84" i="45"/>
  <c r="L84" i="45"/>
  <c r="B84" i="45"/>
  <c r="X83" i="45"/>
  <c r="Z83" i="45" s="1"/>
  <c r="L83" i="45"/>
  <c r="N83" i="45" s="1"/>
  <c r="B83" i="45"/>
  <c r="X82" i="45"/>
  <c r="Z82" i="45" s="1"/>
  <c r="L82" i="45"/>
  <c r="N82" i="45" s="1"/>
  <c r="B82" i="45"/>
  <c r="Z81" i="45"/>
  <c r="X81" i="45"/>
  <c r="L81" i="45"/>
  <c r="N81" i="45" s="1"/>
  <c r="B81" i="45"/>
  <c r="Z80" i="45"/>
  <c r="X80" i="45"/>
  <c r="N80" i="45"/>
  <c r="L80" i="45"/>
  <c r="B80" i="45"/>
  <c r="X79" i="45"/>
  <c r="Z79" i="45" s="1"/>
  <c r="N79" i="45"/>
  <c r="L79" i="45"/>
  <c r="B79" i="45"/>
  <c r="X78" i="45"/>
  <c r="Z78" i="45" s="1"/>
  <c r="V78" i="45"/>
  <c r="L78" i="45"/>
  <c r="N78" i="45" s="1"/>
  <c r="B78" i="45"/>
  <c r="X77" i="45"/>
  <c r="Z77" i="45" s="1"/>
  <c r="T77" i="45"/>
  <c r="P77" i="45"/>
  <c r="H77" i="45"/>
  <c r="D77" i="45"/>
  <c r="L77" i="45" s="1"/>
  <c r="B77" i="45"/>
  <c r="X76" i="45"/>
  <c r="Z76" i="45" s="1"/>
  <c r="N76" i="45"/>
  <c r="L76" i="45"/>
  <c r="B76" i="45"/>
  <c r="X75" i="45"/>
  <c r="Z75" i="45" s="1"/>
  <c r="L75" i="45"/>
  <c r="N75" i="45" s="1"/>
  <c r="B75" i="45"/>
  <c r="X74" i="45"/>
  <c r="Z74" i="45" s="1"/>
  <c r="V74" i="45"/>
  <c r="L74" i="45"/>
  <c r="N74" i="45" s="1"/>
  <c r="B74" i="45"/>
  <c r="X73" i="45"/>
  <c r="Z73" i="45" s="1"/>
  <c r="N73" i="45"/>
  <c r="L73" i="45"/>
  <c r="B73" i="45"/>
  <c r="Z72" i="45"/>
  <c r="T72" i="45"/>
  <c r="X72" i="45" s="1"/>
  <c r="P72" i="45"/>
  <c r="L72" i="45"/>
  <c r="N72" i="45" s="1"/>
  <c r="H72" i="45"/>
  <c r="D72" i="45"/>
  <c r="B72" i="45"/>
  <c r="X71" i="45"/>
  <c r="Z71" i="45" s="1"/>
  <c r="L71" i="45"/>
  <c r="N71" i="45" s="1"/>
  <c r="B71" i="45"/>
  <c r="X70" i="45"/>
  <c r="Z70" i="45" s="1"/>
  <c r="V70" i="45"/>
  <c r="L70" i="45"/>
  <c r="N70" i="45" s="1"/>
  <c r="B70" i="45"/>
  <c r="X69" i="45"/>
  <c r="Z69" i="45" s="1"/>
  <c r="N69" i="45"/>
  <c r="L69" i="45"/>
  <c r="B69" i="45"/>
  <c r="Z68" i="45"/>
  <c r="T68" i="45"/>
  <c r="X68" i="45" s="1"/>
  <c r="P68" i="45"/>
  <c r="L68" i="45"/>
  <c r="N68" i="45" s="1"/>
  <c r="H68" i="45"/>
  <c r="D68" i="45"/>
  <c r="B68" i="45"/>
  <c r="X67" i="45"/>
  <c r="Z67" i="45" s="1"/>
  <c r="L67" i="45"/>
  <c r="N67" i="45" s="1"/>
  <c r="B67" i="45"/>
  <c r="X66" i="45"/>
  <c r="Z66" i="45" s="1"/>
  <c r="V66" i="45"/>
  <c r="T66" i="45"/>
  <c r="P66" i="45"/>
  <c r="H66" i="45"/>
  <c r="N66" i="45" s="1"/>
  <c r="D66" i="45"/>
  <c r="L66" i="45" s="1"/>
  <c r="B66" i="45"/>
  <c r="Z65" i="45"/>
  <c r="X65" i="45"/>
  <c r="L65" i="45"/>
  <c r="N65" i="45" s="1"/>
  <c r="B65" i="45"/>
  <c r="T64" i="45"/>
  <c r="Z64" i="45" s="1"/>
  <c r="P64" i="45"/>
  <c r="X64" i="45" s="1"/>
  <c r="H64" i="45"/>
  <c r="D64" i="45"/>
  <c r="L64" i="45" s="1"/>
  <c r="N64" i="45" s="1"/>
  <c r="B64" i="45"/>
  <c r="X63" i="45"/>
  <c r="Z63" i="45" s="1"/>
  <c r="L63" i="45"/>
  <c r="N63" i="45" s="1"/>
  <c r="B63" i="45"/>
  <c r="T62" i="45"/>
  <c r="P62" i="45"/>
  <c r="X62" i="45" s="1"/>
  <c r="Z62" i="45" s="1"/>
  <c r="N62" i="45"/>
  <c r="H62" i="45"/>
  <c r="L62" i="45" s="1"/>
  <c r="D62" i="45"/>
  <c r="B62" i="45"/>
  <c r="X61" i="45"/>
  <c r="Z61" i="45" s="1"/>
  <c r="N61" i="45"/>
  <c r="L61" i="45"/>
  <c r="B61" i="45"/>
  <c r="Z60" i="45"/>
  <c r="T60" i="45"/>
  <c r="X60" i="45" s="1"/>
  <c r="P60" i="45"/>
  <c r="L60" i="45"/>
  <c r="H60" i="45"/>
  <c r="N60" i="45" s="1"/>
  <c r="D60" i="45"/>
  <c r="B60" i="45"/>
  <c r="X59" i="45"/>
  <c r="Z59" i="45" s="1"/>
  <c r="V59" i="45"/>
  <c r="N59" i="45"/>
  <c r="L59" i="45"/>
  <c r="B59" i="45"/>
  <c r="X58" i="45"/>
  <c r="V58" i="45"/>
  <c r="T58" i="45"/>
  <c r="Z58" i="45" s="1"/>
  <c r="P58" i="45"/>
  <c r="H58" i="45"/>
  <c r="N58" i="45" s="1"/>
  <c r="D58" i="45"/>
  <c r="L58" i="45" s="1"/>
  <c r="B58" i="45"/>
  <c r="Z57" i="45"/>
  <c r="X57" i="45"/>
  <c r="L57" i="45"/>
  <c r="N57" i="45" s="1"/>
  <c r="B57" i="45"/>
  <c r="T56" i="45"/>
  <c r="Z56" i="45" s="1"/>
  <c r="P56" i="45"/>
  <c r="X56" i="45" s="1"/>
  <c r="H56" i="45"/>
  <c r="D56" i="45"/>
  <c r="L56" i="45" s="1"/>
  <c r="N56" i="45" s="1"/>
  <c r="B56" i="45"/>
  <c r="Z55" i="45"/>
  <c r="X55" i="45"/>
  <c r="L55" i="45"/>
  <c r="N55" i="45" s="1"/>
  <c r="B55" i="45"/>
  <c r="T54" i="45"/>
  <c r="P54" i="45"/>
  <c r="X54" i="45" s="1"/>
  <c r="Z54" i="45" s="1"/>
  <c r="N54" i="45"/>
  <c r="L54" i="45"/>
  <c r="H54" i="45"/>
  <c r="D54" i="45"/>
  <c r="B54" i="45"/>
  <c r="X53" i="45"/>
  <c r="Z53" i="45" s="1"/>
  <c r="N53" i="45"/>
  <c r="L53" i="45"/>
  <c r="B53" i="45"/>
  <c r="Z52" i="45"/>
  <c r="X52" i="45"/>
  <c r="T52" i="45"/>
  <c r="P52" i="45"/>
  <c r="L52" i="45"/>
  <c r="H52" i="45"/>
  <c r="N52" i="45" s="1"/>
  <c r="D52" i="45"/>
  <c r="B52" i="45"/>
  <c r="X51" i="45"/>
  <c r="Z51" i="45" s="1"/>
  <c r="V51" i="45"/>
  <c r="N51" i="45"/>
  <c r="L51" i="45"/>
  <c r="B51" i="45"/>
  <c r="X50" i="45"/>
  <c r="V50" i="45"/>
  <c r="T50" i="45"/>
  <c r="Z50" i="45" s="1"/>
  <c r="P50" i="45"/>
  <c r="H50" i="45"/>
  <c r="D50" i="45"/>
  <c r="L50" i="45" s="1"/>
  <c r="B50" i="45"/>
  <c r="Z49" i="45"/>
  <c r="X49" i="45"/>
  <c r="L49" i="45"/>
  <c r="N49" i="45" s="1"/>
  <c r="B49" i="45"/>
  <c r="T48" i="45"/>
  <c r="P48" i="45"/>
  <c r="X48" i="45" s="1"/>
  <c r="H48" i="45"/>
  <c r="D48" i="45"/>
  <c r="L48" i="45" s="1"/>
  <c r="N48" i="45" s="1"/>
  <c r="B48" i="45"/>
  <c r="Z47" i="45"/>
  <c r="X47" i="45"/>
  <c r="N47" i="45"/>
  <c r="L47" i="45"/>
  <c r="B47" i="45"/>
  <c r="Z46" i="45"/>
  <c r="X46" i="45"/>
  <c r="N46" i="45"/>
  <c r="L46" i="45"/>
  <c r="B46" i="45"/>
  <c r="Z45" i="45"/>
  <c r="X45" i="45"/>
  <c r="L45" i="45"/>
  <c r="N45" i="45" s="1"/>
  <c r="B45" i="45"/>
  <c r="X44" i="45"/>
  <c r="Z44" i="45" s="1"/>
  <c r="N44" i="45"/>
  <c r="L44" i="45"/>
  <c r="B44" i="45"/>
  <c r="Z43" i="45"/>
  <c r="X43" i="45"/>
  <c r="V43" i="45"/>
  <c r="N43" i="45"/>
  <c r="L43" i="45"/>
  <c r="B43" i="45"/>
  <c r="X42" i="45"/>
  <c r="Z42" i="45" s="1"/>
  <c r="V42" i="45"/>
  <c r="L42" i="45"/>
  <c r="N42" i="45" s="1"/>
  <c r="B42" i="45"/>
  <c r="X41" i="45"/>
  <c r="Z41" i="45" s="1"/>
  <c r="N41" i="45"/>
  <c r="L41" i="45"/>
  <c r="B41" i="45"/>
  <c r="Z40" i="45"/>
  <c r="X40" i="45"/>
  <c r="N40" i="45"/>
  <c r="L40" i="45"/>
  <c r="B40" i="45"/>
  <c r="Z39" i="45"/>
  <c r="X39" i="45"/>
  <c r="L39" i="45"/>
  <c r="N39" i="45" s="1"/>
  <c r="B39" i="45"/>
  <c r="Z38" i="45"/>
  <c r="X38" i="45"/>
  <c r="N38" i="45"/>
  <c r="L38" i="45"/>
  <c r="J38" i="45"/>
  <c r="B38" i="45"/>
  <c r="T37" i="45"/>
  <c r="P37" i="45"/>
  <c r="X37" i="45" s="1"/>
  <c r="Z37" i="45" s="1"/>
  <c r="H37" i="45"/>
  <c r="D37" i="45"/>
  <c r="L37" i="45" s="1"/>
  <c r="N37" i="45" s="1"/>
  <c r="B37" i="45"/>
  <c r="Z36" i="45"/>
  <c r="X36" i="45"/>
  <c r="L36" i="45"/>
  <c r="N36" i="45" s="1"/>
  <c r="B36" i="45"/>
  <c r="Z35" i="45"/>
  <c r="X35" i="45"/>
  <c r="L35" i="45"/>
  <c r="N35" i="45" s="1"/>
  <c r="B35" i="45"/>
  <c r="X34" i="45"/>
  <c r="Z34" i="45" s="1"/>
  <c r="L34" i="45"/>
  <c r="N34" i="45" s="1"/>
  <c r="B34" i="45"/>
  <c r="Z33" i="45"/>
  <c r="X33" i="45"/>
  <c r="N33" i="45"/>
  <c r="L33" i="45"/>
  <c r="B33" i="45"/>
  <c r="Z32" i="45"/>
  <c r="X32" i="45"/>
  <c r="N32" i="45"/>
  <c r="L32" i="45"/>
  <c r="B32" i="45"/>
  <c r="X31" i="45"/>
  <c r="Z31" i="45" s="1"/>
  <c r="V31" i="45"/>
  <c r="N31" i="45"/>
  <c r="L31" i="45"/>
  <c r="B31" i="45"/>
  <c r="X30" i="45"/>
  <c r="Z30" i="45" s="1"/>
  <c r="V30" i="45"/>
  <c r="L30" i="45"/>
  <c r="N30" i="45" s="1"/>
  <c r="B30" i="45"/>
  <c r="X29" i="45"/>
  <c r="Z29" i="45" s="1"/>
  <c r="N29" i="45"/>
  <c r="L29" i="45"/>
  <c r="B29" i="45"/>
  <c r="Z28" i="45"/>
  <c r="X28" i="45"/>
  <c r="L28" i="45"/>
  <c r="N28" i="45" s="1"/>
  <c r="B28" i="45"/>
  <c r="Z27" i="45"/>
  <c r="X27" i="45"/>
  <c r="L27" i="45"/>
  <c r="N27" i="45" s="1"/>
  <c r="B27" i="45"/>
  <c r="T26" i="45"/>
  <c r="P26" i="45"/>
  <c r="X26" i="45" s="1"/>
  <c r="Z26" i="45" s="1"/>
  <c r="N26" i="45"/>
  <c r="L26" i="45"/>
  <c r="H26" i="45"/>
  <c r="D26" i="45"/>
  <c r="B26" i="45"/>
  <c r="X25" i="45"/>
  <c r="Z25" i="45" s="1"/>
  <c r="T25" i="45"/>
  <c r="V25" i="45" s="1"/>
  <c r="P25" i="45"/>
  <c r="H25" i="45"/>
  <c r="D25" i="45"/>
  <c r="L25" i="45" s="1"/>
  <c r="Z21" i="45"/>
  <c r="X21" i="45"/>
  <c r="V21" i="45"/>
  <c r="N21" i="45"/>
  <c r="L21" i="45"/>
  <c r="B21" i="45"/>
  <c r="Z20" i="45"/>
  <c r="X20" i="45"/>
  <c r="V20" i="45"/>
  <c r="N20" i="45"/>
  <c r="L20" i="45"/>
  <c r="B20" i="45"/>
  <c r="X19" i="45"/>
  <c r="Z19" i="45" s="1"/>
  <c r="V19" i="45"/>
  <c r="L19" i="45"/>
  <c r="N19" i="45" s="1"/>
  <c r="B19" i="45"/>
  <c r="T18" i="45"/>
  <c r="P18" i="45"/>
  <c r="X18" i="45" s="1"/>
  <c r="Z18" i="45" s="1"/>
  <c r="N18" i="45"/>
  <c r="L18" i="45"/>
  <c r="H18" i="45"/>
  <c r="D18" i="45"/>
  <c r="Z16" i="45"/>
  <c r="P16" i="45"/>
  <c r="X16" i="45" s="1"/>
  <c r="N16" i="45"/>
  <c r="L16" i="45"/>
  <c r="D16" i="45"/>
  <c r="B16" i="45"/>
  <c r="Z15" i="45"/>
  <c r="P15" i="45"/>
  <c r="X15" i="45" s="1"/>
  <c r="N15" i="45"/>
  <c r="D15" i="45"/>
  <c r="L15" i="45" s="1"/>
  <c r="B15" i="45"/>
  <c r="P14" i="45"/>
  <c r="X14" i="45" s="1"/>
  <c r="Z14" i="45" s="1"/>
  <c r="L14" i="45"/>
  <c r="N14" i="45" s="1"/>
  <c r="D14" i="45"/>
  <c r="B14" i="45"/>
  <c r="Z13" i="45"/>
  <c r="X13" i="45"/>
  <c r="P13" i="45"/>
  <c r="N13" i="45"/>
  <c r="D13" i="45"/>
  <c r="B13" i="45"/>
  <c r="T12" i="45"/>
  <c r="V89" i="45" s="1"/>
  <c r="H12" i="45"/>
  <c r="D4" i="45"/>
  <c r="B39" i="44"/>
  <c r="B38" i="44"/>
  <c r="T34" i="44"/>
  <c r="Z34" i="44" s="1"/>
  <c r="P34" i="44"/>
  <c r="H34" i="44"/>
  <c r="N34" i="44" s="1"/>
  <c r="D34" i="44"/>
  <c r="T33" i="44"/>
  <c r="Z33" i="44" s="1"/>
  <c r="P33" i="44"/>
  <c r="H33" i="44"/>
  <c r="N33" i="44" s="1"/>
  <c r="D33" i="44"/>
  <c r="T29" i="44"/>
  <c r="Z29" i="44" s="1"/>
  <c r="P29" i="44"/>
  <c r="H29" i="44"/>
  <c r="N29" i="44" s="1"/>
  <c r="D29" i="44"/>
  <c r="T25" i="44"/>
  <c r="Z25" i="44" s="1"/>
  <c r="P25" i="44"/>
  <c r="H25" i="44"/>
  <c r="N25" i="44" s="1"/>
  <c r="D25" i="44"/>
  <c r="B25" i="44"/>
  <c r="T24" i="44"/>
  <c r="Z24" i="44" s="1"/>
  <c r="P24" i="44"/>
  <c r="H24" i="44"/>
  <c r="N24" i="44" s="1"/>
  <c r="D24" i="44"/>
  <c r="T22" i="44"/>
  <c r="Z22" i="44" s="1"/>
  <c r="P22" i="44"/>
  <c r="H22" i="44"/>
  <c r="N22" i="44" s="1"/>
  <c r="D22" i="44"/>
  <c r="B22" i="44"/>
  <c r="T21" i="44"/>
  <c r="Z21" i="44" s="1"/>
  <c r="P21" i="44"/>
  <c r="H21" i="44"/>
  <c r="N21" i="44" s="1"/>
  <c r="D21" i="44"/>
  <c r="B21" i="44"/>
  <c r="T20" i="44"/>
  <c r="Z20" i="44" s="1"/>
  <c r="P20" i="44"/>
  <c r="H20" i="44"/>
  <c r="N20" i="44" s="1"/>
  <c r="D20" i="44"/>
  <c r="T16" i="44"/>
  <c r="Z16" i="44" s="1"/>
  <c r="P16" i="44"/>
  <c r="H16" i="44"/>
  <c r="N16" i="44" s="1"/>
  <c r="D16" i="44"/>
  <c r="B16" i="44"/>
  <c r="T15" i="44"/>
  <c r="P15" i="44"/>
  <c r="H15" i="44"/>
  <c r="N15" i="44" s="1"/>
  <c r="D15" i="44"/>
  <c r="T13" i="44"/>
  <c r="Z13" i="44" s="1"/>
  <c r="P13" i="44"/>
  <c r="H13" i="44"/>
  <c r="N13" i="44" s="1"/>
  <c r="D13" i="44"/>
  <c r="B13" i="44"/>
  <c r="T12" i="44"/>
  <c r="V29" i="44" s="1"/>
  <c r="P12" i="44"/>
  <c r="R36" i="44" s="1"/>
  <c r="H12" i="44"/>
  <c r="J20" i="44" s="1"/>
  <c r="D12" i="44"/>
  <c r="F36" i="44" s="1"/>
  <c r="D5" i="44"/>
  <c r="D4" i="44"/>
  <c r="B39" i="43"/>
  <c r="B38" i="43"/>
  <c r="T34" i="43"/>
  <c r="Z34" i="43" s="1"/>
  <c r="P34" i="43"/>
  <c r="H34" i="43"/>
  <c r="N34" i="43" s="1"/>
  <c r="D34" i="43"/>
  <c r="T33" i="43"/>
  <c r="Z33" i="43" s="1"/>
  <c r="P33" i="43"/>
  <c r="H33" i="43"/>
  <c r="N33" i="43" s="1"/>
  <c r="D33" i="43"/>
  <c r="T29" i="43"/>
  <c r="Z29" i="43" s="1"/>
  <c r="P29" i="43"/>
  <c r="H29" i="43"/>
  <c r="N29" i="43" s="1"/>
  <c r="D29" i="43"/>
  <c r="T25" i="43"/>
  <c r="Z25" i="43" s="1"/>
  <c r="P25" i="43"/>
  <c r="H25" i="43"/>
  <c r="N25" i="43" s="1"/>
  <c r="D25" i="43"/>
  <c r="B25" i="43"/>
  <c r="T24" i="43"/>
  <c r="Z24" i="43" s="1"/>
  <c r="P24" i="43"/>
  <c r="H24" i="43"/>
  <c r="N24" i="43" s="1"/>
  <c r="D24" i="43"/>
  <c r="T22" i="43"/>
  <c r="Z22" i="43" s="1"/>
  <c r="P22" i="43"/>
  <c r="H22" i="43"/>
  <c r="N22" i="43" s="1"/>
  <c r="D22" i="43"/>
  <c r="B22" i="43"/>
  <c r="T21" i="43"/>
  <c r="Z21" i="43" s="1"/>
  <c r="P21" i="43"/>
  <c r="H21" i="43"/>
  <c r="N21" i="43" s="1"/>
  <c r="D21" i="43"/>
  <c r="B21" i="43"/>
  <c r="T20" i="43"/>
  <c r="Z20" i="43" s="1"/>
  <c r="P20" i="43"/>
  <c r="H20" i="43"/>
  <c r="D20" i="43"/>
  <c r="T16" i="43"/>
  <c r="Z16" i="43" s="1"/>
  <c r="P16" i="43"/>
  <c r="H16" i="43"/>
  <c r="N16" i="43" s="1"/>
  <c r="D16" i="43"/>
  <c r="B16" i="43"/>
  <c r="T15" i="43"/>
  <c r="Z15" i="43" s="1"/>
  <c r="P15" i="43"/>
  <c r="H15" i="43"/>
  <c r="N15" i="43" s="1"/>
  <c r="D15" i="43"/>
  <c r="T13" i="43"/>
  <c r="Z13" i="43" s="1"/>
  <c r="P13" i="43"/>
  <c r="H13" i="43"/>
  <c r="D13" i="43"/>
  <c r="B13" i="43"/>
  <c r="T12" i="43"/>
  <c r="V22" i="43" s="1"/>
  <c r="P12" i="43"/>
  <c r="H12" i="43"/>
  <c r="J22" i="43" s="1"/>
  <c r="D12" i="43"/>
  <c r="F22" i="43" s="1"/>
  <c r="D5" i="43"/>
  <c r="D4" i="43"/>
  <c r="X105" i="42"/>
  <c r="Z105" i="42" s="1"/>
  <c r="L105" i="42"/>
  <c r="N105" i="42" s="1"/>
  <c r="Z101" i="42"/>
  <c r="X101" i="42"/>
  <c r="P101" i="42"/>
  <c r="N101" i="42"/>
  <c r="L101" i="42"/>
  <c r="J101" i="42"/>
  <c r="D101" i="42"/>
  <c r="B101" i="42"/>
  <c r="Z100" i="42"/>
  <c r="P100" i="42"/>
  <c r="N100" i="42"/>
  <c r="L100" i="42"/>
  <c r="D100" i="42"/>
  <c r="B100" i="42"/>
  <c r="X99" i="42"/>
  <c r="Z99" i="42" s="1"/>
  <c r="P99" i="42"/>
  <c r="D99" i="42"/>
  <c r="B99" i="42"/>
  <c r="T98" i="42"/>
  <c r="H98" i="42"/>
  <c r="X96" i="42"/>
  <c r="Z96" i="42" s="1"/>
  <c r="V96" i="42"/>
  <c r="N96" i="42"/>
  <c r="L96" i="42"/>
  <c r="B96" i="42"/>
  <c r="X95" i="42"/>
  <c r="Z95" i="42" s="1"/>
  <c r="T95" i="42"/>
  <c r="P95" i="42"/>
  <c r="H95" i="42"/>
  <c r="D95" i="42"/>
  <c r="L95" i="42" s="1"/>
  <c r="B95" i="42"/>
  <c r="X94" i="42"/>
  <c r="Z94" i="42" s="1"/>
  <c r="N94" i="42"/>
  <c r="L94" i="42"/>
  <c r="B94" i="42"/>
  <c r="T93" i="42"/>
  <c r="P93" i="42"/>
  <c r="X93" i="42" s="1"/>
  <c r="H93" i="42"/>
  <c r="D93" i="42"/>
  <c r="L93" i="42" s="1"/>
  <c r="N93" i="42" s="1"/>
  <c r="B93" i="42"/>
  <c r="Z92" i="42"/>
  <c r="X92" i="42"/>
  <c r="L92" i="42"/>
  <c r="N92" i="42" s="1"/>
  <c r="J92" i="42"/>
  <c r="B92" i="42"/>
  <c r="Z91" i="42"/>
  <c r="X91" i="42"/>
  <c r="L91" i="42"/>
  <c r="N91" i="42" s="1"/>
  <c r="B91" i="42"/>
  <c r="T90" i="42"/>
  <c r="P90" i="42"/>
  <c r="X90" i="42" s="1"/>
  <c r="H90" i="42"/>
  <c r="D90" i="42"/>
  <c r="L90" i="42" s="1"/>
  <c r="N90" i="42" s="1"/>
  <c r="B90" i="42"/>
  <c r="X89" i="42"/>
  <c r="Z89" i="42" s="1"/>
  <c r="N89" i="42"/>
  <c r="L89" i="42"/>
  <c r="B89" i="42"/>
  <c r="Z88" i="42"/>
  <c r="X88" i="42"/>
  <c r="N88" i="42"/>
  <c r="L88" i="42"/>
  <c r="J88" i="42"/>
  <c r="B88" i="42"/>
  <c r="Z87" i="42"/>
  <c r="X87" i="42"/>
  <c r="L87" i="42"/>
  <c r="N87" i="42" s="1"/>
  <c r="B87" i="42"/>
  <c r="Z86" i="42"/>
  <c r="X86" i="42"/>
  <c r="N86" i="42"/>
  <c r="L86" i="42"/>
  <c r="B86" i="42"/>
  <c r="X85" i="42"/>
  <c r="Z85" i="42" s="1"/>
  <c r="L85" i="42"/>
  <c r="N85" i="42" s="1"/>
  <c r="B85" i="42"/>
  <c r="X84" i="42"/>
  <c r="Z84" i="42" s="1"/>
  <c r="V84" i="42"/>
  <c r="N84" i="42"/>
  <c r="L84" i="42"/>
  <c r="B84" i="42"/>
  <c r="X83" i="42"/>
  <c r="Z83" i="42" s="1"/>
  <c r="N83" i="42"/>
  <c r="L83" i="42"/>
  <c r="B83" i="42"/>
  <c r="Z82" i="42"/>
  <c r="X82" i="42"/>
  <c r="L82" i="42"/>
  <c r="N82" i="42" s="1"/>
  <c r="B82" i="42"/>
  <c r="X81" i="42"/>
  <c r="Z81" i="42" s="1"/>
  <c r="L81" i="42"/>
  <c r="N81" i="42" s="1"/>
  <c r="B81" i="42"/>
  <c r="T80" i="42"/>
  <c r="P80" i="42"/>
  <c r="X80" i="42" s="1"/>
  <c r="Z80" i="42" s="1"/>
  <c r="N80" i="42"/>
  <c r="L80" i="42"/>
  <c r="H80" i="42"/>
  <c r="D80" i="42"/>
  <c r="B80" i="42"/>
  <c r="X79" i="42"/>
  <c r="Z79" i="42" s="1"/>
  <c r="N79" i="42"/>
  <c r="L79" i="42"/>
  <c r="B79" i="42"/>
  <c r="Z78" i="42"/>
  <c r="X78" i="42"/>
  <c r="T78" i="42"/>
  <c r="P78" i="42"/>
  <c r="L78" i="42"/>
  <c r="J78" i="42"/>
  <c r="H78" i="42"/>
  <c r="N78" i="42" s="1"/>
  <c r="D78" i="42"/>
  <c r="B78" i="42"/>
  <c r="X77" i="42"/>
  <c r="Z77" i="42" s="1"/>
  <c r="L77" i="42"/>
  <c r="N77" i="42" s="1"/>
  <c r="B77" i="42"/>
  <c r="X76" i="42"/>
  <c r="Z76" i="42" s="1"/>
  <c r="V76" i="42"/>
  <c r="N76" i="42"/>
  <c r="L76" i="42"/>
  <c r="B76" i="42"/>
  <c r="X75" i="42"/>
  <c r="Z75" i="42" s="1"/>
  <c r="N75" i="42"/>
  <c r="L75" i="42"/>
  <c r="B75" i="42"/>
  <c r="Z74" i="42"/>
  <c r="X74" i="42"/>
  <c r="L74" i="42"/>
  <c r="N74" i="42" s="1"/>
  <c r="B74" i="42"/>
  <c r="X73" i="42"/>
  <c r="Z73" i="42" s="1"/>
  <c r="N73" i="42"/>
  <c r="L73" i="42"/>
  <c r="B73" i="42"/>
  <c r="T72" i="42"/>
  <c r="P72" i="42"/>
  <c r="X72" i="42" s="1"/>
  <c r="Z72" i="42" s="1"/>
  <c r="N72" i="42"/>
  <c r="L72" i="42"/>
  <c r="H72" i="42"/>
  <c r="D72" i="42"/>
  <c r="B72" i="42"/>
  <c r="X71" i="42"/>
  <c r="Z71" i="42" s="1"/>
  <c r="N71" i="42"/>
  <c r="L71" i="42"/>
  <c r="B71" i="42"/>
  <c r="Z70" i="42"/>
  <c r="X70" i="42"/>
  <c r="N70" i="42"/>
  <c r="L70" i="42"/>
  <c r="B70" i="42"/>
  <c r="Z69" i="42"/>
  <c r="X69" i="42"/>
  <c r="N69" i="42"/>
  <c r="L69" i="42"/>
  <c r="B69" i="42"/>
  <c r="T68" i="42"/>
  <c r="P68" i="42"/>
  <c r="X68" i="42" s="1"/>
  <c r="Z68" i="42" s="1"/>
  <c r="N68" i="42"/>
  <c r="L68" i="42"/>
  <c r="H68" i="42"/>
  <c r="D68" i="42"/>
  <c r="B68" i="42"/>
  <c r="X67" i="42"/>
  <c r="Z67" i="42" s="1"/>
  <c r="N67" i="42"/>
  <c r="L67" i="42"/>
  <c r="B67" i="42"/>
  <c r="Z66" i="42"/>
  <c r="X66" i="42"/>
  <c r="T66" i="42"/>
  <c r="P66" i="42"/>
  <c r="L66" i="42"/>
  <c r="J66" i="42"/>
  <c r="H66" i="42"/>
  <c r="N66" i="42" s="1"/>
  <c r="D66" i="42"/>
  <c r="B66" i="42"/>
  <c r="Z65" i="42"/>
  <c r="X65" i="42"/>
  <c r="L65" i="42"/>
  <c r="N65" i="42" s="1"/>
  <c r="B65" i="42"/>
  <c r="X64" i="42"/>
  <c r="V64" i="42"/>
  <c r="T64" i="42"/>
  <c r="Z64" i="42" s="1"/>
  <c r="P64" i="42"/>
  <c r="H64" i="42"/>
  <c r="N64" i="42" s="1"/>
  <c r="D64" i="42"/>
  <c r="L64" i="42" s="1"/>
  <c r="B64" i="42"/>
  <c r="Z63" i="42"/>
  <c r="X63" i="42"/>
  <c r="L63" i="42"/>
  <c r="N63" i="42" s="1"/>
  <c r="B63" i="42"/>
  <c r="T62" i="42"/>
  <c r="Z62" i="42" s="1"/>
  <c r="P62" i="42"/>
  <c r="X62" i="42" s="1"/>
  <c r="H62" i="42"/>
  <c r="D62" i="42"/>
  <c r="L62" i="42" s="1"/>
  <c r="N62" i="42" s="1"/>
  <c r="B62" i="42"/>
  <c r="X61" i="42"/>
  <c r="Z61" i="42" s="1"/>
  <c r="N61" i="42"/>
  <c r="L61" i="42"/>
  <c r="B61" i="42"/>
  <c r="T60" i="42"/>
  <c r="P60" i="42"/>
  <c r="X60" i="42" s="1"/>
  <c r="Z60" i="42" s="1"/>
  <c r="N60" i="42"/>
  <c r="L60" i="42"/>
  <c r="H60" i="42"/>
  <c r="D60" i="42"/>
  <c r="B60" i="42"/>
  <c r="X59" i="42"/>
  <c r="Z59" i="42" s="1"/>
  <c r="N59" i="42"/>
  <c r="L59" i="42"/>
  <c r="B59" i="42"/>
  <c r="Z58" i="42"/>
  <c r="X58" i="42"/>
  <c r="T58" i="42"/>
  <c r="P58" i="42"/>
  <c r="L58" i="42"/>
  <c r="J58" i="42"/>
  <c r="H58" i="42"/>
  <c r="N58" i="42" s="1"/>
  <c r="D58" i="42"/>
  <c r="B58" i="42"/>
  <c r="Z57" i="42"/>
  <c r="X57" i="42"/>
  <c r="N57" i="42"/>
  <c r="L57" i="42"/>
  <c r="B57" i="42"/>
  <c r="X56" i="42"/>
  <c r="V56" i="42"/>
  <c r="T56" i="42"/>
  <c r="Z56" i="42" s="1"/>
  <c r="P56" i="42"/>
  <c r="H56" i="42"/>
  <c r="N56" i="42" s="1"/>
  <c r="D56" i="42"/>
  <c r="L56" i="42" s="1"/>
  <c r="B56" i="42"/>
  <c r="Z55" i="42"/>
  <c r="X55" i="42"/>
  <c r="L55" i="42"/>
  <c r="N55" i="42" s="1"/>
  <c r="B55" i="42"/>
  <c r="Z54" i="42"/>
  <c r="X54" i="42"/>
  <c r="N54" i="42"/>
  <c r="L54" i="42"/>
  <c r="B54" i="42"/>
  <c r="T53" i="42"/>
  <c r="P53" i="42"/>
  <c r="X53" i="42" s="1"/>
  <c r="H53" i="42"/>
  <c r="D53" i="42"/>
  <c r="L53" i="42" s="1"/>
  <c r="N53" i="42" s="1"/>
  <c r="B53" i="42"/>
  <c r="Z52" i="42"/>
  <c r="X52" i="42"/>
  <c r="L52" i="42"/>
  <c r="N52" i="42" s="1"/>
  <c r="J52" i="42"/>
  <c r="B52" i="42"/>
  <c r="T51" i="42"/>
  <c r="P51" i="42"/>
  <c r="X51" i="42" s="1"/>
  <c r="Z51" i="42" s="1"/>
  <c r="L51" i="42"/>
  <c r="N51" i="42" s="1"/>
  <c r="H51" i="42"/>
  <c r="D51" i="42"/>
  <c r="B51" i="42"/>
  <c r="Z50" i="42"/>
  <c r="X50" i="42"/>
  <c r="L50" i="42"/>
  <c r="N50" i="42" s="1"/>
  <c r="B50" i="42"/>
  <c r="X49" i="42"/>
  <c r="Z49" i="42" s="1"/>
  <c r="T49" i="42"/>
  <c r="P49" i="42"/>
  <c r="L49" i="42"/>
  <c r="N49" i="42" s="1"/>
  <c r="H49" i="42"/>
  <c r="D49" i="42"/>
  <c r="B49" i="42"/>
  <c r="Z48" i="42"/>
  <c r="X48" i="42"/>
  <c r="V48" i="42"/>
  <c r="N48" i="42"/>
  <c r="L48" i="42"/>
  <c r="B48" i="42"/>
  <c r="Z47" i="42"/>
  <c r="X47" i="42"/>
  <c r="T47" i="42"/>
  <c r="P47" i="42"/>
  <c r="H47" i="42"/>
  <c r="N47" i="42" s="1"/>
  <c r="D47" i="42"/>
  <c r="L47" i="42" s="1"/>
  <c r="B47" i="42"/>
  <c r="Z46" i="42"/>
  <c r="X46" i="42"/>
  <c r="N46" i="42"/>
  <c r="L46" i="42"/>
  <c r="B46" i="42"/>
  <c r="Z45" i="42"/>
  <c r="X45" i="42"/>
  <c r="V45" i="42"/>
  <c r="N45" i="42"/>
  <c r="L45" i="42"/>
  <c r="B45" i="42"/>
  <c r="X44" i="42"/>
  <c r="Z44" i="42" s="1"/>
  <c r="V44" i="42"/>
  <c r="N44" i="42"/>
  <c r="L44" i="42"/>
  <c r="B44" i="42"/>
  <c r="X43" i="42"/>
  <c r="Z43" i="42" s="1"/>
  <c r="N43" i="42"/>
  <c r="L43" i="42"/>
  <c r="B43" i="42"/>
  <c r="Z42" i="42"/>
  <c r="X42" i="42"/>
  <c r="N42" i="42"/>
  <c r="L42" i="42"/>
  <c r="B42" i="42"/>
  <c r="X41" i="42"/>
  <c r="Z41" i="42" s="1"/>
  <c r="N41" i="42"/>
  <c r="L41" i="42"/>
  <c r="B41" i="42"/>
  <c r="Z40" i="42"/>
  <c r="X40" i="42"/>
  <c r="L40" i="42"/>
  <c r="N40" i="42" s="1"/>
  <c r="J40" i="42"/>
  <c r="B40" i="42"/>
  <c r="Z39" i="42"/>
  <c r="X39" i="42"/>
  <c r="N39" i="42"/>
  <c r="L39" i="42"/>
  <c r="B39" i="42"/>
  <c r="X38" i="42"/>
  <c r="Z38" i="42" s="1"/>
  <c r="N38" i="42"/>
  <c r="L38" i="42"/>
  <c r="B38" i="42"/>
  <c r="Z37" i="42"/>
  <c r="X37" i="42"/>
  <c r="V37" i="42"/>
  <c r="L37" i="42"/>
  <c r="N37" i="42" s="1"/>
  <c r="B37" i="42"/>
  <c r="X36" i="42"/>
  <c r="V36" i="42"/>
  <c r="T36" i="42"/>
  <c r="Z36" i="42" s="1"/>
  <c r="P36" i="42"/>
  <c r="H36" i="42"/>
  <c r="D36" i="42"/>
  <c r="B36" i="42"/>
  <c r="Z35" i="42"/>
  <c r="X35" i="42"/>
  <c r="L35" i="42"/>
  <c r="N35" i="42" s="1"/>
  <c r="B35" i="42"/>
  <c r="X34" i="42"/>
  <c r="Z34" i="42" s="1"/>
  <c r="N34" i="42"/>
  <c r="L34" i="42"/>
  <c r="B34" i="42"/>
  <c r="Z33" i="42"/>
  <c r="X33" i="42"/>
  <c r="V33" i="42"/>
  <c r="L33" i="42"/>
  <c r="N33" i="42" s="1"/>
  <c r="B33" i="42"/>
  <c r="Z32" i="42"/>
  <c r="X32" i="42"/>
  <c r="V32" i="42"/>
  <c r="N32" i="42"/>
  <c r="L32" i="42"/>
  <c r="B32" i="42"/>
  <c r="X31" i="42"/>
  <c r="Z31" i="42" s="1"/>
  <c r="N31" i="42"/>
  <c r="L31" i="42"/>
  <c r="B31" i="42"/>
  <c r="Z30" i="42"/>
  <c r="X30" i="42"/>
  <c r="V30" i="42"/>
  <c r="L30" i="42"/>
  <c r="N30" i="42" s="1"/>
  <c r="B30" i="42"/>
  <c r="X29" i="42"/>
  <c r="Z29" i="42" s="1"/>
  <c r="N29" i="42"/>
  <c r="L29" i="42"/>
  <c r="B29" i="42"/>
  <c r="Z28" i="42"/>
  <c r="X28" i="42"/>
  <c r="L28" i="42"/>
  <c r="N28" i="42" s="1"/>
  <c r="J28" i="42"/>
  <c r="B28" i="42"/>
  <c r="Z27" i="42"/>
  <c r="X27" i="42"/>
  <c r="L27" i="42"/>
  <c r="N27" i="42" s="1"/>
  <c r="B27" i="42"/>
  <c r="T26" i="42"/>
  <c r="P26" i="42"/>
  <c r="H26" i="42"/>
  <c r="D26" i="42"/>
  <c r="L26" i="42" s="1"/>
  <c r="N26" i="42" s="1"/>
  <c r="B26" i="42"/>
  <c r="X25" i="42"/>
  <c r="T25" i="42"/>
  <c r="Z25" i="42" s="1"/>
  <c r="P25" i="42"/>
  <c r="L25" i="42"/>
  <c r="N25" i="42" s="1"/>
  <c r="H25" i="42"/>
  <c r="D25" i="42"/>
  <c r="T23" i="42"/>
  <c r="Z21" i="42"/>
  <c r="X21" i="42"/>
  <c r="N21" i="42"/>
  <c r="L21" i="42"/>
  <c r="B21" i="42"/>
  <c r="Z20" i="42"/>
  <c r="X20" i="42"/>
  <c r="N20" i="42"/>
  <c r="L20" i="42"/>
  <c r="J20" i="42"/>
  <c r="B20" i="42"/>
  <c r="X19" i="42"/>
  <c r="Z19" i="42" s="1"/>
  <c r="L19" i="42"/>
  <c r="N19" i="42" s="1"/>
  <c r="B19" i="42"/>
  <c r="T18" i="42"/>
  <c r="P18" i="42"/>
  <c r="H18" i="42"/>
  <c r="D18" i="42"/>
  <c r="L18" i="42" s="1"/>
  <c r="N18" i="42" s="1"/>
  <c r="Z16" i="42"/>
  <c r="P16" i="42"/>
  <c r="X16" i="42" s="1"/>
  <c r="N16" i="42"/>
  <c r="L16" i="42"/>
  <c r="D16" i="42"/>
  <c r="B16" i="42"/>
  <c r="X15" i="42"/>
  <c r="Z15" i="42" s="1"/>
  <c r="P15" i="42"/>
  <c r="D15" i="42"/>
  <c r="L15" i="42" s="1"/>
  <c r="N15" i="42" s="1"/>
  <c r="B15" i="42"/>
  <c r="Z14" i="42"/>
  <c r="P14" i="42"/>
  <c r="N14" i="42"/>
  <c r="L14" i="42"/>
  <c r="D14" i="42"/>
  <c r="B14" i="42"/>
  <c r="P13" i="42"/>
  <c r="X13" i="42" s="1"/>
  <c r="Z13" i="42" s="1"/>
  <c r="D13" i="42"/>
  <c r="L13" i="42" s="1"/>
  <c r="N13" i="42" s="1"/>
  <c r="B13" i="42"/>
  <c r="T12" i="42"/>
  <c r="V99" i="42" s="1"/>
  <c r="H12" i="42"/>
  <c r="D4" i="42"/>
  <c r="B39" i="41"/>
  <c r="B38" i="41"/>
  <c r="T34" i="41"/>
  <c r="Z34" i="41" s="1"/>
  <c r="P34" i="41"/>
  <c r="H34" i="41"/>
  <c r="N34" i="41" s="1"/>
  <c r="D34" i="41"/>
  <c r="T33" i="41"/>
  <c r="Z33" i="41" s="1"/>
  <c r="P33" i="41"/>
  <c r="H33" i="41"/>
  <c r="N33" i="41" s="1"/>
  <c r="D33" i="41"/>
  <c r="T29" i="41"/>
  <c r="Z29" i="41" s="1"/>
  <c r="P29" i="41"/>
  <c r="H29" i="41"/>
  <c r="N29" i="41" s="1"/>
  <c r="D29" i="41"/>
  <c r="T25" i="41"/>
  <c r="Z25" i="41" s="1"/>
  <c r="P25" i="41"/>
  <c r="H25" i="41"/>
  <c r="N25" i="41" s="1"/>
  <c r="D25" i="41"/>
  <c r="B25" i="41"/>
  <c r="T24" i="41"/>
  <c r="Z24" i="41" s="1"/>
  <c r="P24" i="41"/>
  <c r="H24" i="41"/>
  <c r="N24" i="41" s="1"/>
  <c r="D24" i="41"/>
  <c r="T22" i="41"/>
  <c r="Z22" i="41" s="1"/>
  <c r="P22" i="41"/>
  <c r="H22" i="41"/>
  <c r="N22" i="41" s="1"/>
  <c r="D22" i="41"/>
  <c r="B22" i="41"/>
  <c r="T21" i="41"/>
  <c r="Z21" i="41" s="1"/>
  <c r="P21" i="41"/>
  <c r="H21" i="41"/>
  <c r="N21" i="41" s="1"/>
  <c r="D21" i="41"/>
  <c r="B21" i="41"/>
  <c r="T20" i="41"/>
  <c r="Z20" i="41" s="1"/>
  <c r="P20" i="41"/>
  <c r="H20" i="41"/>
  <c r="N20" i="41" s="1"/>
  <c r="D20" i="41"/>
  <c r="T16" i="41"/>
  <c r="Z16" i="41" s="1"/>
  <c r="P16" i="41"/>
  <c r="H16" i="41"/>
  <c r="N16" i="41" s="1"/>
  <c r="D16" i="41"/>
  <c r="B16" i="41"/>
  <c r="T15" i="41"/>
  <c r="Z15" i="41" s="1"/>
  <c r="P15" i="41"/>
  <c r="H15" i="41"/>
  <c r="N15" i="41" s="1"/>
  <c r="D15" i="41"/>
  <c r="T13" i="41"/>
  <c r="Z13" i="41" s="1"/>
  <c r="P13" i="41"/>
  <c r="H13" i="41"/>
  <c r="N13" i="41" s="1"/>
  <c r="D13" i="41"/>
  <c r="B13" i="41"/>
  <c r="T12" i="41"/>
  <c r="V36" i="41" s="1"/>
  <c r="P12" i="41"/>
  <c r="R21" i="41" s="1"/>
  <c r="H12" i="41"/>
  <c r="J20" i="41" s="1"/>
  <c r="D12" i="41"/>
  <c r="F36" i="41" s="1"/>
  <c r="D5" i="41"/>
  <c r="D4" i="41"/>
  <c r="B39" i="40"/>
  <c r="B38" i="40"/>
  <c r="T34" i="40"/>
  <c r="Z34" i="40" s="1"/>
  <c r="P34" i="40"/>
  <c r="H34" i="40"/>
  <c r="N34" i="40" s="1"/>
  <c r="D34" i="40"/>
  <c r="T33" i="40"/>
  <c r="Z33" i="40" s="1"/>
  <c r="P33" i="40"/>
  <c r="H33" i="40"/>
  <c r="D33" i="40"/>
  <c r="T29" i="40"/>
  <c r="Z29" i="40" s="1"/>
  <c r="P29" i="40"/>
  <c r="H29" i="40"/>
  <c r="N29" i="40" s="1"/>
  <c r="D29" i="40"/>
  <c r="T25" i="40"/>
  <c r="Z25" i="40" s="1"/>
  <c r="P25" i="40"/>
  <c r="H25" i="40"/>
  <c r="N25" i="40" s="1"/>
  <c r="D25" i="40"/>
  <c r="B25" i="40"/>
  <c r="T24" i="40"/>
  <c r="Z24" i="40" s="1"/>
  <c r="P24" i="40"/>
  <c r="H24" i="40"/>
  <c r="N24" i="40" s="1"/>
  <c r="D24" i="40"/>
  <c r="T22" i="40"/>
  <c r="Z22" i="40" s="1"/>
  <c r="P22" i="40"/>
  <c r="H22" i="40"/>
  <c r="N22" i="40" s="1"/>
  <c r="D22" i="40"/>
  <c r="B22" i="40"/>
  <c r="T21" i="40"/>
  <c r="Z21" i="40" s="1"/>
  <c r="P21" i="40"/>
  <c r="H21" i="40"/>
  <c r="N21" i="40" s="1"/>
  <c r="D21" i="40"/>
  <c r="B21" i="40"/>
  <c r="T20" i="40"/>
  <c r="Z20" i="40" s="1"/>
  <c r="P20" i="40"/>
  <c r="H20" i="40"/>
  <c r="N20" i="40" s="1"/>
  <c r="D20" i="40"/>
  <c r="T16" i="40"/>
  <c r="Z16" i="40" s="1"/>
  <c r="P16" i="40"/>
  <c r="H16" i="40"/>
  <c r="N16" i="40" s="1"/>
  <c r="D16" i="40"/>
  <c r="B16" i="40"/>
  <c r="T15" i="40"/>
  <c r="Z15" i="40" s="1"/>
  <c r="P15" i="40"/>
  <c r="H15" i="40"/>
  <c r="N15" i="40" s="1"/>
  <c r="D15" i="40"/>
  <c r="T13" i="40"/>
  <c r="Z13" i="40" s="1"/>
  <c r="P13" i="40"/>
  <c r="H13" i="40"/>
  <c r="N13" i="40" s="1"/>
  <c r="D13" i="40"/>
  <c r="B13" i="40"/>
  <c r="T12" i="40"/>
  <c r="P12" i="40"/>
  <c r="R31" i="40" s="1"/>
  <c r="H12" i="40"/>
  <c r="J33" i="40" s="1"/>
  <c r="D12" i="40"/>
  <c r="F36" i="40" s="1"/>
  <c r="D5" i="40"/>
  <c r="D4" i="40"/>
  <c r="X110" i="39"/>
  <c r="Z110" i="39" s="1"/>
  <c r="L110" i="39"/>
  <c r="N110" i="39" s="1"/>
  <c r="H108" i="39"/>
  <c r="Z106" i="39"/>
  <c r="P106" i="39"/>
  <c r="X106" i="39" s="1"/>
  <c r="N106" i="39"/>
  <c r="D106" i="39"/>
  <c r="L106" i="39" s="1"/>
  <c r="B106" i="39"/>
  <c r="Z105" i="39"/>
  <c r="V105" i="39"/>
  <c r="P105" i="39"/>
  <c r="X105" i="39" s="1"/>
  <c r="N105" i="39"/>
  <c r="D105" i="39"/>
  <c r="L105" i="39" s="1"/>
  <c r="B105" i="39"/>
  <c r="X104" i="39"/>
  <c r="Z104" i="39" s="1"/>
  <c r="P104" i="39"/>
  <c r="P103" i="39" s="1"/>
  <c r="X103" i="39" s="1"/>
  <c r="J104" i="39"/>
  <c r="D104" i="39"/>
  <c r="L104" i="39" s="1"/>
  <c r="N104" i="39" s="1"/>
  <c r="B104" i="39"/>
  <c r="T103" i="39"/>
  <c r="Z103" i="39" s="1"/>
  <c r="H103" i="39"/>
  <c r="D103" i="39"/>
  <c r="L103" i="39" s="1"/>
  <c r="N103" i="39" s="1"/>
  <c r="Z101" i="39"/>
  <c r="X101" i="39"/>
  <c r="N101" i="39"/>
  <c r="L101" i="39"/>
  <c r="B101" i="39"/>
  <c r="X100" i="39"/>
  <c r="T100" i="39"/>
  <c r="Z100" i="39" s="1"/>
  <c r="P100" i="39"/>
  <c r="L100" i="39"/>
  <c r="H100" i="39"/>
  <c r="D100" i="39"/>
  <c r="B100" i="39"/>
  <c r="X99" i="39"/>
  <c r="Z99" i="39" s="1"/>
  <c r="V99" i="39"/>
  <c r="N99" i="39"/>
  <c r="L99" i="39"/>
  <c r="B99" i="39"/>
  <c r="X98" i="39"/>
  <c r="T98" i="39"/>
  <c r="P98" i="39"/>
  <c r="H98" i="39"/>
  <c r="D98" i="39"/>
  <c r="L98" i="39" s="1"/>
  <c r="B98" i="39"/>
  <c r="Z97" i="39"/>
  <c r="X97" i="39"/>
  <c r="N97" i="39"/>
  <c r="L97" i="39"/>
  <c r="B97" i="39"/>
  <c r="Z96" i="39"/>
  <c r="X96" i="39"/>
  <c r="L96" i="39"/>
  <c r="N96" i="39" s="1"/>
  <c r="B96" i="39"/>
  <c r="X95" i="39"/>
  <c r="Z95" i="39" s="1"/>
  <c r="V95" i="39"/>
  <c r="T95" i="39"/>
  <c r="P95" i="39"/>
  <c r="H95" i="39"/>
  <c r="F95" i="39"/>
  <c r="D95" i="39"/>
  <c r="B95" i="39"/>
  <c r="X94" i="39"/>
  <c r="Z94" i="39" s="1"/>
  <c r="N94" i="39"/>
  <c r="L94" i="39"/>
  <c r="B94" i="39"/>
  <c r="Z93" i="39"/>
  <c r="X93" i="39"/>
  <c r="N93" i="39"/>
  <c r="L93" i="39"/>
  <c r="B93" i="39"/>
  <c r="Z92" i="39"/>
  <c r="X92" i="39"/>
  <c r="L92" i="39"/>
  <c r="N92" i="39" s="1"/>
  <c r="B92" i="39"/>
  <c r="X91" i="39"/>
  <c r="Z91" i="39" s="1"/>
  <c r="V91" i="39"/>
  <c r="N91" i="39"/>
  <c r="L91" i="39"/>
  <c r="B91" i="39"/>
  <c r="X90" i="39"/>
  <c r="Z90" i="39" s="1"/>
  <c r="L90" i="39"/>
  <c r="N90" i="39" s="1"/>
  <c r="B90" i="39"/>
  <c r="Z89" i="39"/>
  <c r="X89" i="39"/>
  <c r="N89" i="39"/>
  <c r="L89" i="39"/>
  <c r="B89" i="39"/>
  <c r="X88" i="39"/>
  <c r="Z88" i="39" s="1"/>
  <c r="N88" i="39"/>
  <c r="L88" i="39"/>
  <c r="F88" i="39"/>
  <c r="B88" i="39"/>
  <c r="Z87" i="39"/>
  <c r="X87" i="39"/>
  <c r="L87" i="39"/>
  <c r="N87" i="39" s="1"/>
  <c r="J87" i="39"/>
  <c r="B87" i="39"/>
  <c r="X86" i="39"/>
  <c r="Z86" i="39" s="1"/>
  <c r="L86" i="39"/>
  <c r="N86" i="39" s="1"/>
  <c r="B86" i="39"/>
  <c r="Z85" i="39"/>
  <c r="X85" i="39"/>
  <c r="N85" i="39"/>
  <c r="L85" i="39"/>
  <c r="B85" i="39"/>
  <c r="T84" i="39"/>
  <c r="P84" i="39"/>
  <c r="X84" i="39" s="1"/>
  <c r="H84" i="39"/>
  <c r="D84" i="39"/>
  <c r="L84" i="39" s="1"/>
  <c r="N84" i="39" s="1"/>
  <c r="B84" i="39"/>
  <c r="Z83" i="39"/>
  <c r="X83" i="39"/>
  <c r="L83" i="39"/>
  <c r="N83" i="39" s="1"/>
  <c r="J83" i="39"/>
  <c r="B83" i="39"/>
  <c r="T82" i="39"/>
  <c r="P82" i="39"/>
  <c r="X82" i="39" s="1"/>
  <c r="Z82" i="39" s="1"/>
  <c r="L82" i="39"/>
  <c r="H82" i="39"/>
  <c r="N82" i="39" s="1"/>
  <c r="D82" i="39"/>
  <c r="B82" i="39"/>
  <c r="Z81" i="39"/>
  <c r="X81" i="39"/>
  <c r="N81" i="39"/>
  <c r="L81" i="39"/>
  <c r="B81" i="39"/>
  <c r="X80" i="39"/>
  <c r="Z80" i="39" s="1"/>
  <c r="L80" i="39"/>
  <c r="N80" i="39" s="1"/>
  <c r="F80" i="39"/>
  <c r="B80" i="39"/>
  <c r="Z79" i="39"/>
  <c r="X79" i="39"/>
  <c r="L79" i="39"/>
  <c r="N79" i="39" s="1"/>
  <c r="J79" i="39"/>
  <c r="B79" i="39"/>
  <c r="X78" i="39"/>
  <c r="Z78" i="39" s="1"/>
  <c r="L78" i="39"/>
  <c r="N78" i="39" s="1"/>
  <c r="B78" i="39"/>
  <c r="Z77" i="39"/>
  <c r="X77" i="39"/>
  <c r="N77" i="39"/>
  <c r="L77" i="39"/>
  <c r="B77" i="39"/>
  <c r="T76" i="39"/>
  <c r="P76" i="39"/>
  <c r="X76" i="39" s="1"/>
  <c r="H76" i="39"/>
  <c r="D76" i="39"/>
  <c r="L76" i="39" s="1"/>
  <c r="N76" i="39" s="1"/>
  <c r="B76" i="39"/>
  <c r="Z75" i="39"/>
  <c r="X75" i="39"/>
  <c r="L75" i="39"/>
  <c r="N75" i="39" s="1"/>
  <c r="J75" i="39"/>
  <c r="B75" i="39"/>
  <c r="T74" i="39"/>
  <c r="P74" i="39"/>
  <c r="X74" i="39" s="1"/>
  <c r="Z74" i="39" s="1"/>
  <c r="L74" i="39"/>
  <c r="H74" i="39"/>
  <c r="N74" i="39" s="1"/>
  <c r="D74" i="39"/>
  <c r="B74" i="39"/>
  <c r="Z73" i="39"/>
  <c r="X73" i="39"/>
  <c r="N73" i="39"/>
  <c r="L73" i="39"/>
  <c r="B73" i="39"/>
  <c r="X72" i="39"/>
  <c r="Z72" i="39" s="1"/>
  <c r="L72" i="39"/>
  <c r="N72" i="39" s="1"/>
  <c r="F72" i="39"/>
  <c r="B72" i="39"/>
  <c r="Z71" i="39"/>
  <c r="X71" i="39"/>
  <c r="L71" i="39"/>
  <c r="N71" i="39" s="1"/>
  <c r="J71" i="39"/>
  <c r="B71" i="39"/>
  <c r="T70" i="39"/>
  <c r="P70" i="39"/>
  <c r="X70" i="39" s="1"/>
  <c r="L70" i="39"/>
  <c r="H70" i="39"/>
  <c r="N70" i="39" s="1"/>
  <c r="D70" i="39"/>
  <c r="B70" i="39"/>
  <c r="Z69" i="39"/>
  <c r="X69" i="39"/>
  <c r="N69" i="39"/>
  <c r="L69" i="39"/>
  <c r="B69" i="39"/>
  <c r="X68" i="39"/>
  <c r="T68" i="39"/>
  <c r="Z68" i="39" s="1"/>
  <c r="P68" i="39"/>
  <c r="L68" i="39"/>
  <c r="H68" i="39"/>
  <c r="N68" i="39" s="1"/>
  <c r="D68" i="39"/>
  <c r="B68" i="39"/>
  <c r="X67" i="39"/>
  <c r="Z67" i="39" s="1"/>
  <c r="V67" i="39"/>
  <c r="N67" i="39"/>
  <c r="L67" i="39"/>
  <c r="B67" i="39"/>
  <c r="X66" i="39"/>
  <c r="T66" i="39"/>
  <c r="P66" i="39"/>
  <c r="H66" i="39"/>
  <c r="D66" i="39"/>
  <c r="L66" i="39" s="1"/>
  <c r="B66" i="39"/>
  <c r="Z65" i="39"/>
  <c r="X65" i="39"/>
  <c r="N65" i="39"/>
  <c r="L65" i="39"/>
  <c r="J65" i="39"/>
  <c r="B65" i="39"/>
  <c r="T64" i="39"/>
  <c r="P64" i="39"/>
  <c r="H64" i="39"/>
  <c r="D64" i="39"/>
  <c r="L64" i="39" s="1"/>
  <c r="B64" i="39"/>
  <c r="Z63" i="39"/>
  <c r="X63" i="39"/>
  <c r="L63" i="39"/>
  <c r="N63" i="39" s="1"/>
  <c r="J63" i="39"/>
  <c r="B63" i="39"/>
  <c r="T62" i="39"/>
  <c r="P62" i="39"/>
  <c r="X62" i="39" s="1"/>
  <c r="L62" i="39"/>
  <c r="H62" i="39"/>
  <c r="N62" i="39" s="1"/>
  <c r="D62" i="39"/>
  <c r="B62" i="39"/>
  <c r="Z61" i="39"/>
  <c r="X61" i="39"/>
  <c r="N61" i="39"/>
  <c r="L61" i="39"/>
  <c r="B61" i="39"/>
  <c r="X60" i="39"/>
  <c r="T60" i="39"/>
  <c r="Z60" i="39" s="1"/>
  <c r="P60" i="39"/>
  <c r="L60" i="39"/>
  <c r="H60" i="39"/>
  <c r="D60" i="39"/>
  <c r="B60" i="39"/>
  <c r="X59" i="39"/>
  <c r="Z59" i="39" s="1"/>
  <c r="V59" i="39"/>
  <c r="N59" i="39"/>
  <c r="L59" i="39"/>
  <c r="B59" i="39"/>
  <c r="X58" i="39"/>
  <c r="T58" i="39"/>
  <c r="Z58" i="39" s="1"/>
  <c r="P58" i="39"/>
  <c r="H58" i="39"/>
  <c r="D58" i="39"/>
  <c r="B58" i="39"/>
  <c r="Z57" i="39"/>
  <c r="X57" i="39"/>
  <c r="N57" i="39"/>
  <c r="L57" i="39"/>
  <c r="J57" i="39"/>
  <c r="B57" i="39"/>
  <c r="Z56" i="39"/>
  <c r="X56" i="39"/>
  <c r="N56" i="39"/>
  <c r="L56" i="39"/>
  <c r="B56" i="39"/>
  <c r="X55" i="39"/>
  <c r="Z55" i="39" s="1"/>
  <c r="V55" i="39"/>
  <c r="T55" i="39"/>
  <c r="P55" i="39"/>
  <c r="H55" i="39"/>
  <c r="F55" i="39"/>
  <c r="D55" i="39"/>
  <c r="B55" i="39"/>
  <c r="X54" i="39"/>
  <c r="Z54" i="39" s="1"/>
  <c r="L54" i="39"/>
  <c r="N54" i="39" s="1"/>
  <c r="B54" i="39"/>
  <c r="T53" i="39"/>
  <c r="P53" i="39"/>
  <c r="H53" i="39"/>
  <c r="D53" i="39"/>
  <c r="L53" i="39" s="1"/>
  <c r="N53" i="39" s="1"/>
  <c r="B53" i="39"/>
  <c r="X52" i="39"/>
  <c r="Z52" i="39" s="1"/>
  <c r="L52" i="39"/>
  <c r="N52" i="39" s="1"/>
  <c r="J52" i="39"/>
  <c r="F52" i="39"/>
  <c r="B52" i="39"/>
  <c r="T51" i="39"/>
  <c r="P51" i="39"/>
  <c r="X51" i="39" s="1"/>
  <c r="Z51" i="39" s="1"/>
  <c r="N51" i="39"/>
  <c r="J51" i="39"/>
  <c r="H51" i="39"/>
  <c r="D51" i="39"/>
  <c r="L51" i="39" s="1"/>
  <c r="B51" i="39"/>
  <c r="Z50" i="39"/>
  <c r="X50" i="39"/>
  <c r="N50" i="39"/>
  <c r="L50" i="39"/>
  <c r="B50" i="39"/>
  <c r="Z49" i="39"/>
  <c r="T49" i="39"/>
  <c r="P49" i="39"/>
  <c r="X49" i="39" s="1"/>
  <c r="N49" i="39"/>
  <c r="L49" i="39"/>
  <c r="J49" i="39"/>
  <c r="H49" i="39"/>
  <c r="D49" i="39"/>
  <c r="B49" i="39"/>
  <c r="Z48" i="39"/>
  <c r="X48" i="39"/>
  <c r="N48" i="39"/>
  <c r="L48" i="39"/>
  <c r="B48" i="39"/>
  <c r="Z47" i="39"/>
  <c r="X47" i="39"/>
  <c r="V47" i="39"/>
  <c r="N47" i="39"/>
  <c r="L47" i="39"/>
  <c r="B47" i="39"/>
  <c r="X46" i="39"/>
  <c r="Z46" i="39" s="1"/>
  <c r="L46" i="39"/>
  <c r="N46" i="39" s="1"/>
  <c r="B46" i="39"/>
  <c r="Z45" i="39"/>
  <c r="X45" i="39"/>
  <c r="N45" i="39"/>
  <c r="L45" i="39"/>
  <c r="B45" i="39"/>
  <c r="Z44" i="39"/>
  <c r="X44" i="39"/>
  <c r="N44" i="39"/>
  <c r="L44" i="39"/>
  <c r="J44" i="39"/>
  <c r="F44" i="39"/>
  <c r="B44" i="39"/>
  <c r="Z43" i="39"/>
  <c r="X43" i="39"/>
  <c r="L43" i="39"/>
  <c r="N43" i="39" s="1"/>
  <c r="J43" i="39"/>
  <c r="B43" i="39"/>
  <c r="X42" i="39"/>
  <c r="Z42" i="39" s="1"/>
  <c r="L42" i="39"/>
  <c r="N42" i="39" s="1"/>
  <c r="B42" i="39"/>
  <c r="Z41" i="39"/>
  <c r="X41" i="39"/>
  <c r="N41" i="39"/>
  <c r="L41" i="39"/>
  <c r="J41" i="39"/>
  <c r="B41" i="39"/>
  <c r="Z40" i="39"/>
  <c r="X40" i="39"/>
  <c r="L40" i="39"/>
  <c r="N40" i="39" s="1"/>
  <c r="B40" i="39"/>
  <c r="X39" i="39"/>
  <c r="Z39" i="39" s="1"/>
  <c r="V39" i="39"/>
  <c r="N39" i="39"/>
  <c r="L39" i="39"/>
  <c r="B39" i="39"/>
  <c r="X38" i="39"/>
  <c r="T38" i="39"/>
  <c r="Z38" i="39" s="1"/>
  <c r="P38" i="39"/>
  <c r="H38" i="39"/>
  <c r="D38" i="39"/>
  <c r="B38" i="39"/>
  <c r="Z37" i="39"/>
  <c r="X37" i="39"/>
  <c r="N37" i="39"/>
  <c r="L37" i="39"/>
  <c r="J37" i="39"/>
  <c r="B37" i="39"/>
  <c r="Z36" i="39"/>
  <c r="X36" i="39"/>
  <c r="L36" i="39"/>
  <c r="N36" i="39" s="1"/>
  <c r="B36" i="39"/>
  <c r="X35" i="39"/>
  <c r="Z35" i="39" s="1"/>
  <c r="V35" i="39"/>
  <c r="N35" i="39"/>
  <c r="L35" i="39"/>
  <c r="J35" i="39"/>
  <c r="B35" i="39"/>
  <c r="Z34" i="39"/>
  <c r="X34" i="39"/>
  <c r="N34" i="39"/>
  <c r="L34" i="39"/>
  <c r="J34" i="39"/>
  <c r="B34" i="39"/>
  <c r="Z33" i="39"/>
  <c r="X33" i="39"/>
  <c r="N33" i="39"/>
  <c r="L33" i="39"/>
  <c r="J33" i="39"/>
  <c r="B33" i="39"/>
  <c r="X32" i="39"/>
  <c r="Z32" i="39" s="1"/>
  <c r="N32" i="39"/>
  <c r="L32" i="39"/>
  <c r="J32" i="39"/>
  <c r="F32" i="39"/>
  <c r="B32" i="39"/>
  <c r="Z31" i="39"/>
  <c r="X31" i="39"/>
  <c r="L31" i="39"/>
  <c r="N31" i="39" s="1"/>
  <c r="J31" i="39"/>
  <c r="B31" i="39"/>
  <c r="X30" i="39"/>
  <c r="Z30" i="39" s="1"/>
  <c r="L30" i="39"/>
  <c r="N30" i="39" s="1"/>
  <c r="B30" i="39"/>
  <c r="Z29" i="39"/>
  <c r="X29" i="39"/>
  <c r="N29" i="39"/>
  <c r="L29" i="39"/>
  <c r="J29" i="39"/>
  <c r="B29" i="39"/>
  <c r="T28" i="39"/>
  <c r="P28" i="39"/>
  <c r="H28" i="39"/>
  <c r="D28" i="39"/>
  <c r="L28" i="39" s="1"/>
  <c r="B28" i="39"/>
  <c r="T27" i="39"/>
  <c r="P27" i="39"/>
  <c r="X27" i="39" s="1"/>
  <c r="Z27" i="39" s="1"/>
  <c r="N27" i="39"/>
  <c r="J27" i="39"/>
  <c r="H27" i="39"/>
  <c r="D27" i="39"/>
  <c r="L27" i="39" s="1"/>
  <c r="H25" i="39"/>
  <c r="Z23" i="39"/>
  <c r="X23" i="39"/>
  <c r="N23" i="39"/>
  <c r="L23" i="39"/>
  <c r="J23" i="39"/>
  <c r="B23" i="39"/>
  <c r="Z22" i="39"/>
  <c r="X22" i="39"/>
  <c r="N22" i="39"/>
  <c r="L22" i="39"/>
  <c r="B22" i="39"/>
  <c r="X21" i="39"/>
  <c r="Z21" i="39" s="1"/>
  <c r="N21" i="39"/>
  <c r="L21" i="39"/>
  <c r="J21" i="39"/>
  <c r="B21" i="39"/>
  <c r="T20" i="39"/>
  <c r="P20" i="39"/>
  <c r="X20" i="39" s="1"/>
  <c r="J20" i="39"/>
  <c r="H20" i="39"/>
  <c r="D20" i="39"/>
  <c r="Z18" i="39"/>
  <c r="X18" i="39"/>
  <c r="P18" i="39"/>
  <c r="N18" i="39"/>
  <c r="L18" i="39"/>
  <c r="D18" i="39"/>
  <c r="B18" i="39"/>
  <c r="Z17" i="39"/>
  <c r="P17" i="39"/>
  <c r="X17" i="39" s="1"/>
  <c r="N17" i="39"/>
  <c r="D17" i="39"/>
  <c r="L17" i="39" s="1"/>
  <c r="B17" i="39"/>
  <c r="X16" i="39"/>
  <c r="Z16" i="39" s="1"/>
  <c r="P16" i="39"/>
  <c r="N16" i="39"/>
  <c r="L16" i="39"/>
  <c r="D16" i="39"/>
  <c r="B16" i="39"/>
  <c r="Z15" i="39"/>
  <c r="P15" i="39"/>
  <c r="X15" i="39" s="1"/>
  <c r="N15" i="39"/>
  <c r="L15" i="39"/>
  <c r="D15" i="39"/>
  <c r="B15" i="39"/>
  <c r="Z14" i="39"/>
  <c r="P14" i="39"/>
  <c r="X14" i="39" s="1"/>
  <c r="N14" i="39"/>
  <c r="D14" i="39"/>
  <c r="L14" i="39" s="1"/>
  <c r="B14" i="39"/>
  <c r="X13" i="39"/>
  <c r="Z13" i="39" s="1"/>
  <c r="P13" i="39"/>
  <c r="L13" i="39"/>
  <c r="N13" i="39" s="1"/>
  <c r="D13" i="39"/>
  <c r="B13" i="39"/>
  <c r="T12" i="39"/>
  <c r="L12" i="39"/>
  <c r="N12" i="39" s="1"/>
  <c r="H12" i="39"/>
  <c r="J100" i="39" s="1"/>
  <c r="D12" i="39"/>
  <c r="D4" i="39"/>
  <c r="B39" i="38"/>
  <c r="B38" i="38"/>
  <c r="T34" i="38"/>
  <c r="Z34" i="38" s="1"/>
  <c r="P34" i="38"/>
  <c r="H34" i="38"/>
  <c r="N34" i="38" s="1"/>
  <c r="D34" i="38"/>
  <c r="T33" i="38"/>
  <c r="Z33" i="38" s="1"/>
  <c r="P33" i="38"/>
  <c r="H33" i="38"/>
  <c r="N33" i="38" s="1"/>
  <c r="D33" i="38"/>
  <c r="T29" i="38"/>
  <c r="Z29" i="38" s="1"/>
  <c r="P29" i="38"/>
  <c r="H29" i="38"/>
  <c r="N29" i="38" s="1"/>
  <c r="D29" i="38"/>
  <c r="T25" i="38"/>
  <c r="Z25" i="38" s="1"/>
  <c r="P25" i="38"/>
  <c r="H25" i="38"/>
  <c r="N25" i="38" s="1"/>
  <c r="D25" i="38"/>
  <c r="B25" i="38"/>
  <c r="T24" i="38"/>
  <c r="Z24" i="38" s="1"/>
  <c r="P24" i="38"/>
  <c r="H24" i="38"/>
  <c r="N24" i="38" s="1"/>
  <c r="D24" i="38"/>
  <c r="T22" i="38"/>
  <c r="Z22" i="38" s="1"/>
  <c r="P22" i="38"/>
  <c r="H22" i="38"/>
  <c r="N22" i="38" s="1"/>
  <c r="D22" i="38"/>
  <c r="B22" i="38"/>
  <c r="T21" i="38"/>
  <c r="Z21" i="38" s="1"/>
  <c r="P21" i="38"/>
  <c r="H21" i="38"/>
  <c r="N21" i="38" s="1"/>
  <c r="D21" i="38"/>
  <c r="B21" i="38"/>
  <c r="T20" i="38"/>
  <c r="Z20" i="38" s="1"/>
  <c r="P20" i="38"/>
  <c r="H20" i="38"/>
  <c r="N20" i="38" s="1"/>
  <c r="D20" i="38"/>
  <c r="T16" i="38"/>
  <c r="Z16" i="38" s="1"/>
  <c r="P16" i="38"/>
  <c r="H16" i="38"/>
  <c r="N16" i="38" s="1"/>
  <c r="D16" i="38"/>
  <c r="B16" i="38"/>
  <c r="T15" i="38"/>
  <c r="Z15" i="38" s="1"/>
  <c r="P15" i="38"/>
  <c r="H15" i="38"/>
  <c r="D15" i="38"/>
  <c r="T13" i="38"/>
  <c r="Z13" i="38" s="1"/>
  <c r="P13" i="38"/>
  <c r="H13" i="38"/>
  <c r="N13" i="38" s="1"/>
  <c r="D13" i="38"/>
  <c r="B13" i="38"/>
  <c r="T12" i="38"/>
  <c r="V22" i="38" s="1"/>
  <c r="P12" i="38"/>
  <c r="R18" i="38" s="1"/>
  <c r="H12" i="38"/>
  <c r="J20" i="38" s="1"/>
  <c r="D12" i="38"/>
  <c r="F25" i="38" s="1"/>
  <c r="D5" i="38"/>
  <c r="D4" i="38"/>
  <c r="B39" i="37"/>
  <c r="B38" i="37"/>
  <c r="T34" i="37"/>
  <c r="Z34" i="37" s="1"/>
  <c r="P34" i="37"/>
  <c r="H34" i="37"/>
  <c r="N34" i="37" s="1"/>
  <c r="D34" i="37"/>
  <c r="T33" i="37"/>
  <c r="Z33" i="37" s="1"/>
  <c r="P33" i="37"/>
  <c r="H33" i="37"/>
  <c r="N33" i="37" s="1"/>
  <c r="D33" i="37"/>
  <c r="T29" i="37"/>
  <c r="Z29" i="37" s="1"/>
  <c r="P29" i="37"/>
  <c r="H29" i="37"/>
  <c r="N29" i="37" s="1"/>
  <c r="D29" i="37"/>
  <c r="T25" i="37"/>
  <c r="Z25" i="37" s="1"/>
  <c r="P25" i="37"/>
  <c r="H25" i="37"/>
  <c r="N25" i="37" s="1"/>
  <c r="D25" i="37"/>
  <c r="B25" i="37"/>
  <c r="T24" i="37"/>
  <c r="P24" i="37"/>
  <c r="H24" i="37"/>
  <c r="N24" i="37" s="1"/>
  <c r="D24" i="37"/>
  <c r="T22" i="37"/>
  <c r="Z22" i="37" s="1"/>
  <c r="P22" i="37"/>
  <c r="H22" i="37"/>
  <c r="N22" i="37" s="1"/>
  <c r="D22" i="37"/>
  <c r="B22" i="37"/>
  <c r="T21" i="37"/>
  <c r="Z21" i="37" s="1"/>
  <c r="P21" i="37"/>
  <c r="H21" i="37"/>
  <c r="N21" i="37" s="1"/>
  <c r="D21" i="37"/>
  <c r="B21" i="37"/>
  <c r="T20" i="37"/>
  <c r="Z20" i="37" s="1"/>
  <c r="P20" i="37"/>
  <c r="H20" i="37"/>
  <c r="N20" i="37" s="1"/>
  <c r="D20" i="37"/>
  <c r="T16" i="37"/>
  <c r="Z16" i="37" s="1"/>
  <c r="P16" i="37"/>
  <c r="H16" i="37"/>
  <c r="N16" i="37" s="1"/>
  <c r="D16" i="37"/>
  <c r="B16" i="37"/>
  <c r="T15" i="37"/>
  <c r="Z15" i="37" s="1"/>
  <c r="P15" i="37"/>
  <c r="H15" i="37"/>
  <c r="D15" i="37"/>
  <c r="T13" i="37"/>
  <c r="Z13" i="37" s="1"/>
  <c r="P13" i="37"/>
  <c r="H13" i="37"/>
  <c r="N13" i="37" s="1"/>
  <c r="D13" i="37"/>
  <c r="B13" i="37"/>
  <c r="T12" i="37"/>
  <c r="V36" i="37" s="1"/>
  <c r="P12" i="37"/>
  <c r="R31" i="37" s="1"/>
  <c r="H12" i="37"/>
  <c r="N12" i="37" s="1"/>
  <c r="D12" i="37"/>
  <c r="F36" i="37" s="1"/>
  <c r="D5" i="37"/>
  <c r="D4" i="37"/>
  <c r="X116" i="36"/>
  <c r="Z116" i="36" s="1"/>
  <c r="N116" i="36"/>
  <c r="L116" i="36"/>
  <c r="Z112" i="36"/>
  <c r="X112" i="36"/>
  <c r="P112" i="36"/>
  <c r="N112" i="36"/>
  <c r="L112" i="36"/>
  <c r="D112" i="36"/>
  <c r="D109" i="36" s="1"/>
  <c r="B112" i="36"/>
  <c r="Z111" i="36"/>
  <c r="X111" i="36"/>
  <c r="P111" i="36"/>
  <c r="N111" i="36"/>
  <c r="L111" i="36"/>
  <c r="D111" i="36"/>
  <c r="B111" i="36"/>
  <c r="Z110" i="36"/>
  <c r="P110" i="36"/>
  <c r="X110" i="36" s="1"/>
  <c r="N110" i="36"/>
  <c r="L110" i="36"/>
  <c r="D110" i="36"/>
  <c r="B110" i="36"/>
  <c r="T109" i="36"/>
  <c r="P109" i="36"/>
  <c r="X109" i="36" s="1"/>
  <c r="Z109" i="36" s="1"/>
  <c r="L109" i="36"/>
  <c r="H109" i="36"/>
  <c r="Z107" i="36"/>
  <c r="X107" i="36"/>
  <c r="N107" i="36"/>
  <c r="L107" i="36"/>
  <c r="B107" i="36"/>
  <c r="Z106" i="36"/>
  <c r="T106" i="36"/>
  <c r="P106" i="36"/>
  <c r="X106" i="36" s="1"/>
  <c r="L106" i="36"/>
  <c r="N106" i="36" s="1"/>
  <c r="H106" i="36"/>
  <c r="D106" i="36"/>
  <c r="B106" i="36"/>
  <c r="Z105" i="36"/>
  <c r="X105" i="36"/>
  <c r="N105" i="36"/>
  <c r="L105" i="36"/>
  <c r="B105" i="36"/>
  <c r="Z104" i="36"/>
  <c r="X104" i="36"/>
  <c r="N104" i="36"/>
  <c r="L104" i="36"/>
  <c r="B104" i="36"/>
  <c r="Z103" i="36"/>
  <c r="X103" i="36"/>
  <c r="T103" i="36"/>
  <c r="P103" i="36"/>
  <c r="H103" i="36"/>
  <c r="N103" i="36" s="1"/>
  <c r="D103" i="36"/>
  <c r="B103" i="36"/>
  <c r="X102" i="36"/>
  <c r="Z102" i="36" s="1"/>
  <c r="N102" i="36"/>
  <c r="L102" i="36"/>
  <c r="B102" i="36"/>
  <c r="T101" i="36"/>
  <c r="P101" i="36"/>
  <c r="X101" i="36" s="1"/>
  <c r="H101" i="36"/>
  <c r="D101" i="36"/>
  <c r="L101" i="36" s="1"/>
  <c r="N101" i="36" s="1"/>
  <c r="B101" i="36"/>
  <c r="Z100" i="36"/>
  <c r="X100" i="36"/>
  <c r="L100" i="36"/>
  <c r="N100" i="36" s="1"/>
  <c r="J100" i="36"/>
  <c r="B100" i="36"/>
  <c r="Z99" i="36"/>
  <c r="X99" i="36"/>
  <c r="L99" i="36"/>
  <c r="N99" i="36" s="1"/>
  <c r="B99" i="36"/>
  <c r="T98" i="36"/>
  <c r="P98" i="36"/>
  <c r="H98" i="36"/>
  <c r="N98" i="36" s="1"/>
  <c r="D98" i="36"/>
  <c r="L98" i="36" s="1"/>
  <c r="B98" i="36"/>
  <c r="X97" i="36"/>
  <c r="Z97" i="36" s="1"/>
  <c r="N97" i="36"/>
  <c r="L97" i="36"/>
  <c r="B97" i="36"/>
  <c r="Z96" i="36"/>
  <c r="X96" i="36"/>
  <c r="N96" i="36"/>
  <c r="L96" i="36"/>
  <c r="B96" i="36"/>
  <c r="Z95" i="36"/>
  <c r="X95" i="36"/>
  <c r="V95" i="36"/>
  <c r="L95" i="36"/>
  <c r="N95" i="36" s="1"/>
  <c r="B95" i="36"/>
  <c r="X94" i="36"/>
  <c r="Z94" i="36" s="1"/>
  <c r="N94" i="36"/>
  <c r="L94" i="36"/>
  <c r="B94" i="36"/>
  <c r="Z93" i="36"/>
  <c r="X93" i="36"/>
  <c r="L93" i="36"/>
  <c r="N93" i="36" s="1"/>
  <c r="B93" i="36"/>
  <c r="X92" i="36"/>
  <c r="Z92" i="36" s="1"/>
  <c r="N92" i="36"/>
  <c r="L92" i="36"/>
  <c r="B92" i="36"/>
  <c r="X91" i="36"/>
  <c r="Z91" i="36" s="1"/>
  <c r="N91" i="36"/>
  <c r="L91" i="36"/>
  <c r="B91" i="36"/>
  <c r="Z90" i="36"/>
  <c r="X90" i="36"/>
  <c r="V90" i="36"/>
  <c r="L90" i="36"/>
  <c r="N90" i="36" s="1"/>
  <c r="B90" i="36"/>
  <c r="X89" i="36"/>
  <c r="Z89" i="36" s="1"/>
  <c r="N89" i="36"/>
  <c r="L89" i="36"/>
  <c r="B89" i="36"/>
  <c r="Z88" i="36"/>
  <c r="X88" i="36"/>
  <c r="L88" i="36"/>
  <c r="N88" i="36" s="1"/>
  <c r="B88" i="36"/>
  <c r="V87" i="36"/>
  <c r="T87" i="36"/>
  <c r="P87" i="36"/>
  <c r="X87" i="36" s="1"/>
  <c r="Z87" i="36" s="1"/>
  <c r="L87" i="36"/>
  <c r="H87" i="36"/>
  <c r="D87" i="36"/>
  <c r="B87" i="36"/>
  <c r="Z86" i="36"/>
  <c r="X86" i="36"/>
  <c r="L86" i="36"/>
  <c r="N86" i="36" s="1"/>
  <c r="B86" i="36"/>
  <c r="X85" i="36"/>
  <c r="T85" i="36"/>
  <c r="Z85" i="36" s="1"/>
  <c r="P85" i="36"/>
  <c r="L85" i="36"/>
  <c r="N85" i="36" s="1"/>
  <c r="H85" i="36"/>
  <c r="D85" i="36"/>
  <c r="B85" i="36"/>
  <c r="X84" i="36"/>
  <c r="Z84" i="36" s="1"/>
  <c r="N84" i="36"/>
  <c r="L84" i="36"/>
  <c r="B84" i="36"/>
  <c r="X83" i="36"/>
  <c r="Z83" i="36" s="1"/>
  <c r="N83" i="36"/>
  <c r="L83" i="36"/>
  <c r="B83" i="36"/>
  <c r="Z82" i="36"/>
  <c r="X82" i="36"/>
  <c r="L82" i="36"/>
  <c r="N82" i="36" s="1"/>
  <c r="B82" i="36"/>
  <c r="X81" i="36"/>
  <c r="Z81" i="36" s="1"/>
  <c r="N81" i="36"/>
  <c r="L81" i="36"/>
  <c r="B81" i="36"/>
  <c r="Z80" i="36"/>
  <c r="X80" i="36"/>
  <c r="L80" i="36"/>
  <c r="N80" i="36" s="1"/>
  <c r="B80" i="36"/>
  <c r="T79" i="36"/>
  <c r="P79" i="36"/>
  <c r="H79" i="36"/>
  <c r="D79" i="36"/>
  <c r="L79" i="36" s="1"/>
  <c r="B79" i="36"/>
  <c r="Z78" i="36"/>
  <c r="X78" i="36"/>
  <c r="N78" i="36"/>
  <c r="L78" i="36"/>
  <c r="B78" i="36"/>
  <c r="X77" i="36"/>
  <c r="Z77" i="36" s="1"/>
  <c r="N77" i="36"/>
  <c r="L77" i="36"/>
  <c r="B77" i="36"/>
  <c r="Z76" i="36"/>
  <c r="X76" i="36"/>
  <c r="L76" i="36"/>
  <c r="N76" i="36" s="1"/>
  <c r="J76" i="36"/>
  <c r="B76" i="36"/>
  <c r="T75" i="36"/>
  <c r="P75" i="36"/>
  <c r="X75" i="36" s="1"/>
  <c r="Z75" i="36" s="1"/>
  <c r="L75" i="36"/>
  <c r="H75" i="36"/>
  <c r="D75" i="36"/>
  <c r="B75" i="36"/>
  <c r="Z74" i="36"/>
  <c r="X74" i="36"/>
  <c r="V74" i="36"/>
  <c r="N74" i="36"/>
  <c r="L74" i="36"/>
  <c r="B74" i="36"/>
  <c r="X73" i="36"/>
  <c r="V73" i="36"/>
  <c r="T73" i="36"/>
  <c r="P73" i="36"/>
  <c r="H73" i="36"/>
  <c r="D73" i="36"/>
  <c r="L73" i="36" s="1"/>
  <c r="N73" i="36" s="1"/>
  <c r="B73" i="36"/>
  <c r="Z72" i="36"/>
  <c r="X72" i="36"/>
  <c r="N72" i="36"/>
  <c r="L72" i="36"/>
  <c r="B72" i="36"/>
  <c r="T71" i="36"/>
  <c r="P71" i="36"/>
  <c r="X71" i="36" s="1"/>
  <c r="L71" i="36"/>
  <c r="N71" i="36" s="1"/>
  <c r="H71" i="36"/>
  <c r="D71" i="36"/>
  <c r="B71" i="36"/>
  <c r="Z70" i="36"/>
  <c r="X70" i="36"/>
  <c r="N70" i="36"/>
  <c r="L70" i="36"/>
  <c r="B70" i="36"/>
  <c r="X69" i="36"/>
  <c r="Z69" i="36" s="1"/>
  <c r="V69" i="36"/>
  <c r="T69" i="36"/>
  <c r="P69" i="36"/>
  <c r="H69" i="36"/>
  <c r="D69" i="36"/>
  <c r="L69" i="36" s="1"/>
  <c r="B69" i="36"/>
  <c r="Z68" i="36"/>
  <c r="X68" i="36"/>
  <c r="L68" i="36"/>
  <c r="N68" i="36" s="1"/>
  <c r="J68" i="36"/>
  <c r="B68" i="36"/>
  <c r="T67" i="36"/>
  <c r="P67" i="36"/>
  <c r="X67" i="36" s="1"/>
  <c r="L67" i="36"/>
  <c r="H67" i="36"/>
  <c r="D67" i="36"/>
  <c r="B67" i="36"/>
  <c r="Z66" i="36"/>
  <c r="X66" i="36"/>
  <c r="V66" i="36"/>
  <c r="N66" i="36"/>
  <c r="L66" i="36"/>
  <c r="B66" i="36"/>
  <c r="X65" i="36"/>
  <c r="V65" i="36"/>
  <c r="T65" i="36"/>
  <c r="P65" i="36"/>
  <c r="H65" i="36"/>
  <c r="D65" i="36"/>
  <c r="L65" i="36" s="1"/>
  <c r="N65" i="36" s="1"/>
  <c r="B65" i="36"/>
  <c r="Z64" i="36"/>
  <c r="X64" i="36"/>
  <c r="N64" i="36"/>
  <c r="L64" i="36"/>
  <c r="B64" i="36"/>
  <c r="T63" i="36"/>
  <c r="P63" i="36"/>
  <c r="X63" i="36" s="1"/>
  <c r="L63" i="36"/>
  <c r="N63" i="36" s="1"/>
  <c r="H63" i="36"/>
  <c r="D63" i="36"/>
  <c r="B63" i="36"/>
  <c r="Z62" i="36"/>
  <c r="X62" i="36"/>
  <c r="N62" i="36"/>
  <c r="L62" i="36"/>
  <c r="B62" i="36"/>
  <c r="X61" i="36"/>
  <c r="Z61" i="36" s="1"/>
  <c r="V61" i="36"/>
  <c r="T61" i="36"/>
  <c r="P61" i="36"/>
  <c r="H61" i="36"/>
  <c r="D61" i="36"/>
  <c r="L61" i="36" s="1"/>
  <c r="B61" i="36"/>
  <c r="Z60" i="36"/>
  <c r="X60" i="36"/>
  <c r="L60" i="36"/>
  <c r="N60" i="36" s="1"/>
  <c r="J60" i="36"/>
  <c r="B60" i="36"/>
  <c r="T59" i="36"/>
  <c r="P59" i="36"/>
  <c r="X59" i="36" s="1"/>
  <c r="H59" i="36"/>
  <c r="D59" i="36"/>
  <c r="B59" i="36"/>
  <c r="Z58" i="36"/>
  <c r="X58" i="36"/>
  <c r="N58" i="36"/>
  <c r="L58" i="36"/>
  <c r="B58" i="36"/>
  <c r="Z57" i="36"/>
  <c r="X57" i="36"/>
  <c r="N57" i="36"/>
  <c r="L57" i="36"/>
  <c r="B57" i="36"/>
  <c r="T56" i="36"/>
  <c r="P56" i="36"/>
  <c r="X56" i="36" s="1"/>
  <c r="Z56" i="36" s="1"/>
  <c r="N56" i="36"/>
  <c r="H56" i="36"/>
  <c r="D56" i="36"/>
  <c r="L56" i="36" s="1"/>
  <c r="B56" i="36"/>
  <c r="X55" i="36"/>
  <c r="Z55" i="36" s="1"/>
  <c r="L55" i="36"/>
  <c r="N55" i="36" s="1"/>
  <c r="B55" i="36"/>
  <c r="Z54" i="36"/>
  <c r="T54" i="36"/>
  <c r="P54" i="36"/>
  <c r="X54" i="36" s="1"/>
  <c r="L54" i="36"/>
  <c r="N54" i="36" s="1"/>
  <c r="J54" i="36"/>
  <c r="H54" i="36"/>
  <c r="D54" i="36"/>
  <c r="B54" i="36"/>
  <c r="Z53" i="36"/>
  <c r="X53" i="36"/>
  <c r="L53" i="36"/>
  <c r="N53" i="36" s="1"/>
  <c r="B53" i="36"/>
  <c r="X52" i="36"/>
  <c r="Z52" i="36" s="1"/>
  <c r="V52" i="36"/>
  <c r="T52" i="36"/>
  <c r="P52" i="36"/>
  <c r="H52" i="36"/>
  <c r="L52" i="36" s="1"/>
  <c r="N52" i="36" s="1"/>
  <c r="D52" i="36"/>
  <c r="B52" i="36"/>
  <c r="X51" i="36"/>
  <c r="Z51" i="36" s="1"/>
  <c r="L51" i="36"/>
  <c r="N51" i="36" s="1"/>
  <c r="B51" i="36"/>
  <c r="T50" i="36"/>
  <c r="X50" i="36" s="1"/>
  <c r="Z50" i="36" s="1"/>
  <c r="P50" i="36"/>
  <c r="H50" i="36"/>
  <c r="D50" i="36"/>
  <c r="L50" i="36" s="1"/>
  <c r="B50" i="36"/>
  <c r="Z49" i="36"/>
  <c r="X49" i="36"/>
  <c r="N49" i="36"/>
  <c r="L49" i="36"/>
  <c r="B49" i="36"/>
  <c r="Z48" i="36"/>
  <c r="X48" i="36"/>
  <c r="N48" i="36"/>
  <c r="L48" i="36"/>
  <c r="J48" i="36"/>
  <c r="B48" i="36"/>
  <c r="X47" i="36"/>
  <c r="Z47" i="36" s="1"/>
  <c r="L47" i="36"/>
  <c r="N47" i="36" s="1"/>
  <c r="B47" i="36"/>
  <c r="Z46" i="36"/>
  <c r="X46" i="36"/>
  <c r="N46" i="36"/>
  <c r="L46" i="36"/>
  <c r="B46" i="36"/>
  <c r="Z45" i="36"/>
  <c r="X45" i="36"/>
  <c r="N45" i="36"/>
  <c r="L45" i="36"/>
  <c r="B45" i="36"/>
  <c r="X44" i="36"/>
  <c r="Z44" i="36" s="1"/>
  <c r="V44" i="36"/>
  <c r="N44" i="36"/>
  <c r="L44" i="36"/>
  <c r="B44" i="36"/>
  <c r="X43" i="36"/>
  <c r="Z43" i="36" s="1"/>
  <c r="L43" i="36"/>
  <c r="N43" i="36" s="1"/>
  <c r="B43" i="36"/>
  <c r="Z42" i="36"/>
  <c r="X42" i="36"/>
  <c r="N42" i="36"/>
  <c r="L42" i="36"/>
  <c r="B42" i="36"/>
  <c r="X41" i="36"/>
  <c r="Z41" i="36" s="1"/>
  <c r="N41" i="36"/>
  <c r="L41" i="36"/>
  <c r="B41" i="36"/>
  <c r="Z40" i="36"/>
  <c r="X40" i="36"/>
  <c r="L40" i="36"/>
  <c r="N40" i="36" s="1"/>
  <c r="J40" i="36"/>
  <c r="B40" i="36"/>
  <c r="T39" i="36"/>
  <c r="P39" i="36"/>
  <c r="X39" i="36" s="1"/>
  <c r="H39" i="36"/>
  <c r="D39" i="36"/>
  <c r="B39" i="36"/>
  <c r="Z38" i="36"/>
  <c r="X38" i="36"/>
  <c r="N38" i="36"/>
  <c r="L38" i="36"/>
  <c r="B38" i="36"/>
  <c r="X37" i="36"/>
  <c r="Z37" i="36" s="1"/>
  <c r="N37" i="36"/>
  <c r="L37" i="36"/>
  <c r="B37" i="36"/>
  <c r="Z36" i="36"/>
  <c r="X36" i="36"/>
  <c r="L36" i="36"/>
  <c r="N36" i="36" s="1"/>
  <c r="J36" i="36"/>
  <c r="B36" i="36"/>
  <c r="Z35" i="36"/>
  <c r="X35" i="36"/>
  <c r="N35" i="36"/>
  <c r="L35" i="36"/>
  <c r="B35" i="36"/>
  <c r="Z34" i="36"/>
  <c r="X34" i="36"/>
  <c r="N34" i="36"/>
  <c r="L34" i="36"/>
  <c r="B34" i="36"/>
  <c r="Z33" i="36"/>
  <c r="X33" i="36"/>
  <c r="L33" i="36"/>
  <c r="N33" i="36" s="1"/>
  <c r="B33" i="36"/>
  <c r="X32" i="36"/>
  <c r="Z32" i="36" s="1"/>
  <c r="V32" i="36"/>
  <c r="N32" i="36"/>
  <c r="L32" i="36"/>
  <c r="B32" i="36"/>
  <c r="X31" i="36"/>
  <c r="Z31" i="36" s="1"/>
  <c r="L31" i="36"/>
  <c r="N31" i="36" s="1"/>
  <c r="B31" i="36"/>
  <c r="Z30" i="36"/>
  <c r="X30" i="36"/>
  <c r="N30" i="36"/>
  <c r="L30" i="36"/>
  <c r="B30" i="36"/>
  <c r="X29" i="36"/>
  <c r="Z29" i="36" s="1"/>
  <c r="N29" i="36"/>
  <c r="L29" i="36"/>
  <c r="B29" i="36"/>
  <c r="T28" i="36"/>
  <c r="P28" i="36"/>
  <c r="X28" i="36" s="1"/>
  <c r="Z28" i="36" s="1"/>
  <c r="H28" i="36"/>
  <c r="D28" i="36"/>
  <c r="L28" i="36" s="1"/>
  <c r="N28" i="36" s="1"/>
  <c r="B28" i="36"/>
  <c r="X27" i="36"/>
  <c r="T27" i="36"/>
  <c r="P27" i="36"/>
  <c r="H27" i="36"/>
  <c r="D27" i="36"/>
  <c r="H25" i="36"/>
  <c r="H114" i="36" s="1"/>
  <c r="Z23" i="36"/>
  <c r="X23" i="36"/>
  <c r="N23" i="36"/>
  <c r="L23" i="36"/>
  <c r="B23" i="36"/>
  <c r="Z22" i="36"/>
  <c r="X22" i="36"/>
  <c r="N22" i="36"/>
  <c r="L22" i="36"/>
  <c r="B22" i="36"/>
  <c r="X21" i="36"/>
  <c r="Z21" i="36" s="1"/>
  <c r="N21" i="36"/>
  <c r="L21" i="36"/>
  <c r="J21" i="36"/>
  <c r="B21" i="36"/>
  <c r="T20" i="36"/>
  <c r="P20" i="36"/>
  <c r="X20" i="36" s="1"/>
  <c r="Z20" i="36" s="1"/>
  <c r="J20" i="36"/>
  <c r="H20" i="36"/>
  <c r="D20" i="36"/>
  <c r="L20" i="36" s="1"/>
  <c r="N20" i="36" s="1"/>
  <c r="Z18" i="36"/>
  <c r="P18" i="36"/>
  <c r="X18" i="36" s="1"/>
  <c r="N18" i="36"/>
  <c r="L18" i="36"/>
  <c r="D18" i="36"/>
  <c r="B18" i="36"/>
  <c r="Z17" i="36"/>
  <c r="P17" i="36"/>
  <c r="X17" i="36" s="1"/>
  <c r="N17" i="36"/>
  <c r="D17" i="36"/>
  <c r="L17" i="36" s="1"/>
  <c r="B17" i="36"/>
  <c r="Z16" i="36"/>
  <c r="X16" i="36"/>
  <c r="P16" i="36"/>
  <c r="L16" i="36"/>
  <c r="N16" i="36" s="1"/>
  <c r="D16" i="36"/>
  <c r="B16" i="36"/>
  <c r="Z15" i="36"/>
  <c r="X15" i="36"/>
  <c r="P15" i="36"/>
  <c r="N15" i="36"/>
  <c r="D15" i="36"/>
  <c r="B15" i="36"/>
  <c r="Z14" i="36"/>
  <c r="P14" i="36"/>
  <c r="X14" i="36" s="1"/>
  <c r="N14" i="36"/>
  <c r="D14" i="36"/>
  <c r="L14" i="36" s="1"/>
  <c r="B14" i="36"/>
  <c r="X13" i="36"/>
  <c r="Z13" i="36" s="1"/>
  <c r="P13" i="36"/>
  <c r="N13" i="36"/>
  <c r="L13" i="36"/>
  <c r="D13" i="36"/>
  <c r="B13" i="36"/>
  <c r="T12" i="36"/>
  <c r="V116" i="36" s="1"/>
  <c r="H12" i="36"/>
  <c r="J89" i="36" s="1"/>
  <c r="D4" i="36"/>
  <c r="B39" i="35"/>
  <c r="B38" i="35"/>
  <c r="T34" i="35"/>
  <c r="Z34" i="35" s="1"/>
  <c r="P34" i="35"/>
  <c r="H34" i="35"/>
  <c r="N34" i="35" s="1"/>
  <c r="D34" i="35"/>
  <c r="T33" i="35"/>
  <c r="Z33" i="35" s="1"/>
  <c r="P33" i="35"/>
  <c r="H33" i="35"/>
  <c r="N33" i="35" s="1"/>
  <c r="D33" i="35"/>
  <c r="T29" i="35"/>
  <c r="Z29" i="35" s="1"/>
  <c r="P29" i="35"/>
  <c r="H29" i="35"/>
  <c r="N29" i="35" s="1"/>
  <c r="D29" i="35"/>
  <c r="T25" i="35"/>
  <c r="Z25" i="35" s="1"/>
  <c r="P25" i="35"/>
  <c r="H25" i="35"/>
  <c r="N25" i="35" s="1"/>
  <c r="D25" i="35"/>
  <c r="B25" i="35"/>
  <c r="T24" i="35"/>
  <c r="Z24" i="35" s="1"/>
  <c r="P24" i="35"/>
  <c r="H24" i="35"/>
  <c r="N24" i="35" s="1"/>
  <c r="D24" i="35"/>
  <c r="T22" i="35"/>
  <c r="P22" i="35"/>
  <c r="H22" i="35"/>
  <c r="N22" i="35" s="1"/>
  <c r="D22" i="35"/>
  <c r="B22" i="35"/>
  <c r="T21" i="35"/>
  <c r="Z21" i="35" s="1"/>
  <c r="P21" i="35"/>
  <c r="H21" i="35"/>
  <c r="N21" i="35" s="1"/>
  <c r="D21" i="35"/>
  <c r="B21" i="35"/>
  <c r="T20" i="35"/>
  <c r="Z20" i="35" s="1"/>
  <c r="P20" i="35"/>
  <c r="H20" i="35"/>
  <c r="D20" i="35"/>
  <c r="T16" i="35"/>
  <c r="Z16" i="35" s="1"/>
  <c r="P16" i="35"/>
  <c r="H16" i="35"/>
  <c r="N16" i="35" s="1"/>
  <c r="D16" i="35"/>
  <c r="B16" i="35"/>
  <c r="T15" i="35"/>
  <c r="Z15" i="35" s="1"/>
  <c r="P15" i="35"/>
  <c r="H15" i="35"/>
  <c r="N15" i="35" s="1"/>
  <c r="D15" i="35"/>
  <c r="T13" i="35"/>
  <c r="Z13" i="35" s="1"/>
  <c r="P13" i="35"/>
  <c r="H13" i="35"/>
  <c r="N13" i="35" s="1"/>
  <c r="D13" i="35"/>
  <c r="B13" i="35"/>
  <c r="T12" i="35"/>
  <c r="V34" i="35" s="1"/>
  <c r="P12" i="35"/>
  <c r="R15" i="35" s="1"/>
  <c r="H12" i="35"/>
  <c r="J21" i="35" s="1"/>
  <c r="D12" i="35"/>
  <c r="F34" i="35" s="1"/>
  <c r="D5" i="35"/>
  <c r="D4" i="35"/>
  <c r="B39" i="34"/>
  <c r="B38" i="34"/>
  <c r="T34" i="34"/>
  <c r="Z34" i="34" s="1"/>
  <c r="P34" i="34"/>
  <c r="H34" i="34"/>
  <c r="N34" i="34" s="1"/>
  <c r="D34" i="34"/>
  <c r="T33" i="34"/>
  <c r="P33" i="34"/>
  <c r="H33" i="34"/>
  <c r="N33" i="34" s="1"/>
  <c r="D33" i="34"/>
  <c r="T29" i="34"/>
  <c r="P29" i="34"/>
  <c r="H29" i="34"/>
  <c r="N29" i="34" s="1"/>
  <c r="D29" i="34"/>
  <c r="T25" i="34"/>
  <c r="Z25" i="34" s="1"/>
  <c r="P25" i="34"/>
  <c r="H25" i="34"/>
  <c r="N25" i="34" s="1"/>
  <c r="D25" i="34"/>
  <c r="B25" i="34"/>
  <c r="T24" i="34"/>
  <c r="Z24" i="34" s="1"/>
  <c r="P24" i="34"/>
  <c r="H24" i="34"/>
  <c r="N24" i="34" s="1"/>
  <c r="D24" i="34"/>
  <c r="T22" i="34"/>
  <c r="Z22" i="34" s="1"/>
  <c r="P22" i="34"/>
  <c r="H22" i="34"/>
  <c r="N22" i="34" s="1"/>
  <c r="D22" i="34"/>
  <c r="B22" i="34"/>
  <c r="T21" i="34"/>
  <c r="Z21" i="34" s="1"/>
  <c r="P21" i="34"/>
  <c r="H21" i="34"/>
  <c r="N21" i="34" s="1"/>
  <c r="D21" i="34"/>
  <c r="B21" i="34"/>
  <c r="T20" i="34"/>
  <c r="Z20" i="34" s="1"/>
  <c r="P20" i="34"/>
  <c r="H20" i="34"/>
  <c r="N20" i="34" s="1"/>
  <c r="D20" i="34"/>
  <c r="T16" i="34"/>
  <c r="P16" i="34"/>
  <c r="H16" i="34"/>
  <c r="N16" i="34" s="1"/>
  <c r="D16" i="34"/>
  <c r="B16" i="34"/>
  <c r="T15" i="34"/>
  <c r="P15" i="34"/>
  <c r="H15" i="34"/>
  <c r="N15" i="34" s="1"/>
  <c r="D15" i="34"/>
  <c r="T13" i="34"/>
  <c r="Z13" i="34" s="1"/>
  <c r="P13" i="34"/>
  <c r="H13" i="34"/>
  <c r="N13" i="34" s="1"/>
  <c r="D13" i="34"/>
  <c r="B13" i="34"/>
  <c r="T12" i="34"/>
  <c r="V20" i="34" s="1"/>
  <c r="P12" i="34"/>
  <c r="R22" i="34" s="1"/>
  <c r="H12" i="34"/>
  <c r="J24" i="34" s="1"/>
  <c r="D12" i="34"/>
  <c r="D5" i="34"/>
  <c r="D4" i="34"/>
  <c r="X75" i="33"/>
  <c r="Z75" i="33" s="1"/>
  <c r="L75" i="33"/>
  <c r="N75" i="33" s="1"/>
  <c r="X71" i="33"/>
  <c r="Z71" i="33" s="1"/>
  <c r="P71" i="33"/>
  <c r="D71" i="33"/>
  <c r="B71" i="33"/>
  <c r="T70" i="33"/>
  <c r="P70" i="33"/>
  <c r="X70" i="33" s="1"/>
  <c r="Z70" i="33" s="1"/>
  <c r="H70" i="33"/>
  <c r="X68" i="33"/>
  <c r="Z68" i="33" s="1"/>
  <c r="N68" i="33"/>
  <c r="L68" i="33"/>
  <c r="B68" i="33"/>
  <c r="X67" i="33"/>
  <c r="T67" i="33"/>
  <c r="P67" i="33"/>
  <c r="H67" i="33"/>
  <c r="D67" i="33"/>
  <c r="B67" i="33"/>
  <c r="Z66" i="33"/>
  <c r="X66" i="33"/>
  <c r="N66" i="33"/>
  <c r="L66" i="33"/>
  <c r="B66" i="33"/>
  <c r="Z65" i="33"/>
  <c r="X65" i="33"/>
  <c r="L65" i="33"/>
  <c r="N65" i="33" s="1"/>
  <c r="B65" i="33"/>
  <c r="X64" i="33"/>
  <c r="Z64" i="33" s="1"/>
  <c r="N64" i="33"/>
  <c r="L64" i="33"/>
  <c r="B64" i="33"/>
  <c r="Z63" i="33"/>
  <c r="X63" i="33"/>
  <c r="N63" i="33"/>
  <c r="L63" i="33"/>
  <c r="B63" i="33"/>
  <c r="Z62" i="33"/>
  <c r="T62" i="33"/>
  <c r="P62" i="33"/>
  <c r="X62" i="33" s="1"/>
  <c r="L62" i="33"/>
  <c r="N62" i="33" s="1"/>
  <c r="J62" i="33"/>
  <c r="H62" i="33"/>
  <c r="D62" i="33"/>
  <c r="B62" i="33"/>
  <c r="Z61" i="33"/>
  <c r="X61" i="33"/>
  <c r="L61" i="33"/>
  <c r="N61" i="33" s="1"/>
  <c r="B61" i="33"/>
  <c r="X60" i="33"/>
  <c r="Z60" i="33" s="1"/>
  <c r="T60" i="33"/>
  <c r="P60" i="33"/>
  <c r="H60" i="33"/>
  <c r="L60" i="33" s="1"/>
  <c r="N60" i="33" s="1"/>
  <c r="D60" i="33"/>
  <c r="B60" i="33"/>
  <c r="Z59" i="33"/>
  <c r="X59" i="33"/>
  <c r="N59" i="33"/>
  <c r="L59" i="33"/>
  <c r="B59" i="33"/>
  <c r="Z58" i="33"/>
  <c r="X58" i="33"/>
  <c r="N58" i="33"/>
  <c r="L58" i="33"/>
  <c r="B58" i="33"/>
  <c r="T57" i="33"/>
  <c r="P57" i="33"/>
  <c r="X57" i="33" s="1"/>
  <c r="H57" i="33"/>
  <c r="D57" i="33"/>
  <c r="L57" i="33" s="1"/>
  <c r="N57" i="33" s="1"/>
  <c r="B57" i="33"/>
  <c r="Z56" i="33"/>
  <c r="X56" i="33"/>
  <c r="N56" i="33"/>
  <c r="L56" i="33"/>
  <c r="J56" i="33"/>
  <c r="B56" i="33"/>
  <c r="Z55" i="33"/>
  <c r="T55" i="33"/>
  <c r="P55" i="33"/>
  <c r="X55" i="33" s="1"/>
  <c r="L55" i="33"/>
  <c r="H55" i="33"/>
  <c r="N55" i="33" s="1"/>
  <c r="D55" i="33"/>
  <c r="B55" i="33"/>
  <c r="Z54" i="33"/>
  <c r="X54" i="33"/>
  <c r="N54" i="33"/>
  <c r="L54" i="33"/>
  <c r="B54" i="33"/>
  <c r="X53" i="33"/>
  <c r="Z53" i="33" s="1"/>
  <c r="N53" i="33"/>
  <c r="L53" i="33"/>
  <c r="B53" i="33"/>
  <c r="T52" i="33"/>
  <c r="P52" i="33"/>
  <c r="X52" i="33" s="1"/>
  <c r="Z52" i="33" s="1"/>
  <c r="N52" i="33"/>
  <c r="H52" i="33"/>
  <c r="D52" i="33"/>
  <c r="L52" i="33" s="1"/>
  <c r="B52" i="33"/>
  <c r="X51" i="33"/>
  <c r="Z51" i="33" s="1"/>
  <c r="L51" i="33"/>
  <c r="N51" i="33" s="1"/>
  <c r="B51" i="33"/>
  <c r="T50" i="33"/>
  <c r="P50" i="33"/>
  <c r="X50" i="33" s="1"/>
  <c r="Z50" i="33" s="1"/>
  <c r="L50" i="33"/>
  <c r="N50" i="33" s="1"/>
  <c r="J50" i="33"/>
  <c r="H50" i="33"/>
  <c r="D50" i="33"/>
  <c r="B50" i="33"/>
  <c r="Z49" i="33"/>
  <c r="X49" i="33"/>
  <c r="L49" i="33"/>
  <c r="N49" i="33" s="1"/>
  <c r="B49" i="33"/>
  <c r="X48" i="33"/>
  <c r="Z48" i="33" s="1"/>
  <c r="T48" i="33"/>
  <c r="P48" i="33"/>
  <c r="H48" i="33"/>
  <c r="L48" i="33" s="1"/>
  <c r="N48" i="33" s="1"/>
  <c r="D48" i="33"/>
  <c r="B48" i="33"/>
  <c r="X47" i="33"/>
  <c r="Z47" i="33" s="1"/>
  <c r="L47" i="33"/>
  <c r="N47" i="33" s="1"/>
  <c r="B47" i="33"/>
  <c r="T46" i="33"/>
  <c r="X46" i="33" s="1"/>
  <c r="Z46" i="33" s="1"/>
  <c r="P46" i="33"/>
  <c r="H46" i="33"/>
  <c r="D46" i="33"/>
  <c r="L46" i="33" s="1"/>
  <c r="N46" i="33" s="1"/>
  <c r="B46" i="33"/>
  <c r="Z45" i="33"/>
  <c r="X45" i="33"/>
  <c r="N45" i="33"/>
  <c r="L45" i="33"/>
  <c r="B45" i="33"/>
  <c r="Z44" i="33"/>
  <c r="X44" i="33"/>
  <c r="N44" i="33"/>
  <c r="L44" i="33"/>
  <c r="J44" i="33"/>
  <c r="B44" i="33"/>
  <c r="Z43" i="33"/>
  <c r="X43" i="33"/>
  <c r="N43" i="33"/>
  <c r="L43" i="33"/>
  <c r="B43" i="33"/>
  <c r="Z42" i="33"/>
  <c r="X42" i="33"/>
  <c r="N42" i="33"/>
  <c r="L42" i="33"/>
  <c r="B42" i="33"/>
  <c r="Z41" i="33"/>
  <c r="X41" i="33"/>
  <c r="N41" i="33"/>
  <c r="L41" i="33"/>
  <c r="B41" i="33"/>
  <c r="Z40" i="33"/>
  <c r="X40" i="33"/>
  <c r="N40" i="33"/>
  <c r="L40" i="33"/>
  <c r="B40" i="33"/>
  <c r="Z39" i="33"/>
  <c r="X39" i="33"/>
  <c r="N39" i="33"/>
  <c r="L39" i="33"/>
  <c r="B39" i="33"/>
  <c r="Z38" i="33"/>
  <c r="X38" i="33"/>
  <c r="N38" i="33"/>
  <c r="L38" i="33"/>
  <c r="B38" i="33"/>
  <c r="X37" i="33"/>
  <c r="Z37" i="33" s="1"/>
  <c r="N37" i="33"/>
  <c r="L37" i="33"/>
  <c r="B37" i="33"/>
  <c r="Z36" i="33"/>
  <c r="X36" i="33"/>
  <c r="N36" i="33"/>
  <c r="L36" i="33"/>
  <c r="J36" i="33"/>
  <c r="B36" i="33"/>
  <c r="T35" i="33"/>
  <c r="Z35" i="33" s="1"/>
  <c r="P35" i="33"/>
  <c r="X35" i="33" s="1"/>
  <c r="L35" i="33"/>
  <c r="H35" i="33"/>
  <c r="N35" i="33" s="1"/>
  <c r="D35" i="33"/>
  <c r="B35" i="33"/>
  <c r="Z34" i="33"/>
  <c r="X34" i="33"/>
  <c r="N34" i="33"/>
  <c r="L34" i="33"/>
  <c r="B34" i="33"/>
  <c r="X33" i="33"/>
  <c r="Z33" i="33" s="1"/>
  <c r="N33" i="33"/>
  <c r="L33" i="33"/>
  <c r="B33" i="33"/>
  <c r="Z32" i="33"/>
  <c r="X32" i="33"/>
  <c r="L32" i="33"/>
  <c r="N32" i="33" s="1"/>
  <c r="J32" i="33"/>
  <c r="B32" i="33"/>
  <c r="Z31" i="33"/>
  <c r="X31" i="33"/>
  <c r="N31" i="33"/>
  <c r="L31" i="33"/>
  <c r="B31" i="33"/>
  <c r="Z30" i="33"/>
  <c r="X30" i="33"/>
  <c r="N30" i="33"/>
  <c r="L30" i="33"/>
  <c r="J30" i="33"/>
  <c r="B30" i="33"/>
  <c r="Z29" i="33"/>
  <c r="X29" i="33"/>
  <c r="L29" i="33"/>
  <c r="N29" i="33" s="1"/>
  <c r="B29" i="33"/>
  <c r="X28" i="33"/>
  <c r="Z28" i="33" s="1"/>
  <c r="N28" i="33"/>
  <c r="L28" i="33"/>
  <c r="B28" i="33"/>
  <c r="X27" i="33"/>
  <c r="Z27" i="33" s="1"/>
  <c r="L27" i="33"/>
  <c r="N27" i="33" s="1"/>
  <c r="B27" i="33"/>
  <c r="Z26" i="33"/>
  <c r="X26" i="33"/>
  <c r="N26" i="33"/>
  <c r="L26" i="33"/>
  <c r="B26" i="33"/>
  <c r="X25" i="33"/>
  <c r="T25" i="33"/>
  <c r="Z25" i="33" s="1"/>
  <c r="P25" i="33"/>
  <c r="L25" i="33"/>
  <c r="H25" i="33"/>
  <c r="D25" i="33"/>
  <c r="B25" i="33"/>
  <c r="X24" i="33"/>
  <c r="Z24" i="33" s="1"/>
  <c r="T24" i="33"/>
  <c r="P24" i="33"/>
  <c r="H24" i="33"/>
  <c r="D24" i="33"/>
  <c r="L24" i="33" s="1"/>
  <c r="N24" i="33" s="1"/>
  <c r="Z20" i="33"/>
  <c r="X20" i="33"/>
  <c r="N20" i="33"/>
  <c r="L20" i="33"/>
  <c r="B20" i="33"/>
  <c r="X19" i="33"/>
  <c r="T19" i="33"/>
  <c r="Z19" i="33" s="1"/>
  <c r="P19" i="33"/>
  <c r="H19" i="33"/>
  <c r="N19" i="33" s="1"/>
  <c r="D19" i="33"/>
  <c r="Z17" i="33"/>
  <c r="X17" i="33"/>
  <c r="P17" i="33"/>
  <c r="N17" i="33"/>
  <c r="D17" i="33"/>
  <c r="L17" i="33" s="1"/>
  <c r="B17" i="33"/>
  <c r="Z16" i="33"/>
  <c r="P16" i="33"/>
  <c r="X16" i="33" s="1"/>
  <c r="N16" i="33"/>
  <c r="D16" i="33"/>
  <c r="L16" i="33" s="1"/>
  <c r="B16" i="33"/>
  <c r="Z15" i="33"/>
  <c r="X15" i="33"/>
  <c r="P15" i="33"/>
  <c r="N15" i="33"/>
  <c r="L15" i="33"/>
  <c r="D15" i="33"/>
  <c r="B15" i="33"/>
  <c r="P14" i="33"/>
  <c r="X14" i="33" s="1"/>
  <c r="Z14" i="33" s="1"/>
  <c r="L14" i="33"/>
  <c r="N14" i="33" s="1"/>
  <c r="D14" i="33"/>
  <c r="B14" i="33"/>
  <c r="X13" i="33"/>
  <c r="Z13" i="33" s="1"/>
  <c r="P13" i="33"/>
  <c r="D13" i="33"/>
  <c r="L13" i="33" s="1"/>
  <c r="N13" i="33" s="1"/>
  <c r="B13" i="33"/>
  <c r="T12" i="33"/>
  <c r="H12" i="33"/>
  <c r="J75" i="33" s="1"/>
  <c r="D4" i="33"/>
  <c r="B39" i="32"/>
  <c r="B38" i="32"/>
  <c r="T34" i="32"/>
  <c r="Z34" i="32" s="1"/>
  <c r="P34" i="32"/>
  <c r="H34" i="32"/>
  <c r="N34" i="32" s="1"/>
  <c r="D34" i="32"/>
  <c r="T33" i="32"/>
  <c r="Z33" i="32" s="1"/>
  <c r="P33" i="32"/>
  <c r="H33" i="32"/>
  <c r="N33" i="32" s="1"/>
  <c r="D33" i="32"/>
  <c r="T29" i="32"/>
  <c r="Z29" i="32" s="1"/>
  <c r="P29" i="32"/>
  <c r="H29" i="32"/>
  <c r="N29" i="32" s="1"/>
  <c r="D29" i="32"/>
  <c r="T25" i="32"/>
  <c r="Z25" i="32" s="1"/>
  <c r="P25" i="32"/>
  <c r="H25" i="32"/>
  <c r="N25" i="32" s="1"/>
  <c r="D25" i="32"/>
  <c r="B25" i="32"/>
  <c r="T24" i="32"/>
  <c r="Z24" i="32" s="1"/>
  <c r="P24" i="32"/>
  <c r="H24" i="32"/>
  <c r="D24" i="32"/>
  <c r="T22" i="32"/>
  <c r="Z22" i="32" s="1"/>
  <c r="P22" i="32"/>
  <c r="H22" i="32"/>
  <c r="N22" i="32" s="1"/>
  <c r="D22" i="32"/>
  <c r="B22" i="32"/>
  <c r="T21" i="32"/>
  <c r="Z21" i="32" s="1"/>
  <c r="P21" i="32"/>
  <c r="H21" i="32"/>
  <c r="N21" i="32" s="1"/>
  <c r="D21" i="32"/>
  <c r="B21" i="32"/>
  <c r="T20" i="32"/>
  <c r="P20" i="32"/>
  <c r="H20" i="32"/>
  <c r="N20" i="32" s="1"/>
  <c r="D20" i="32"/>
  <c r="T16" i="32"/>
  <c r="P16" i="32"/>
  <c r="H16" i="32"/>
  <c r="N16" i="32" s="1"/>
  <c r="D16" i="32"/>
  <c r="B16" i="32"/>
  <c r="T15" i="32"/>
  <c r="Z15" i="32" s="1"/>
  <c r="P15" i="32"/>
  <c r="H15" i="32"/>
  <c r="N15" i="32" s="1"/>
  <c r="D15" i="32"/>
  <c r="T13" i="32"/>
  <c r="Z13" i="32" s="1"/>
  <c r="P13" i="32"/>
  <c r="H13" i="32"/>
  <c r="N13" i="32" s="1"/>
  <c r="D13" i="32"/>
  <c r="B13" i="32"/>
  <c r="T12" i="32"/>
  <c r="V24" i="32" s="1"/>
  <c r="P12" i="32"/>
  <c r="R34" i="32" s="1"/>
  <c r="H12" i="32"/>
  <c r="J36" i="32" s="1"/>
  <c r="D12" i="32"/>
  <c r="F21" i="32" s="1"/>
  <c r="D5" i="32"/>
  <c r="D4" i="32"/>
  <c r="B39" i="31"/>
  <c r="B38" i="31"/>
  <c r="T34" i="31"/>
  <c r="Z34" i="31" s="1"/>
  <c r="P34" i="31"/>
  <c r="H34" i="31"/>
  <c r="D34" i="31"/>
  <c r="T33" i="31"/>
  <c r="Z33" i="31" s="1"/>
  <c r="P33" i="31"/>
  <c r="H33" i="31"/>
  <c r="N33" i="31" s="1"/>
  <c r="D33" i="31"/>
  <c r="T29" i="31"/>
  <c r="Z29" i="31" s="1"/>
  <c r="P29" i="31"/>
  <c r="H29" i="31"/>
  <c r="N29" i="31" s="1"/>
  <c r="D29" i="31"/>
  <c r="T25" i="31"/>
  <c r="Z25" i="31" s="1"/>
  <c r="P25" i="31"/>
  <c r="H25" i="31"/>
  <c r="N25" i="31" s="1"/>
  <c r="D25" i="31"/>
  <c r="B25" i="31"/>
  <c r="T24" i="31"/>
  <c r="Z24" i="31" s="1"/>
  <c r="P24" i="31"/>
  <c r="H24" i="31"/>
  <c r="N24" i="31" s="1"/>
  <c r="D24" i="31"/>
  <c r="T22" i="31"/>
  <c r="Z22" i="31" s="1"/>
  <c r="P22" i="31"/>
  <c r="H22" i="31"/>
  <c r="N22" i="31" s="1"/>
  <c r="D22" i="31"/>
  <c r="B22" i="31"/>
  <c r="T21" i="31"/>
  <c r="Z21" i="31" s="1"/>
  <c r="P21" i="31"/>
  <c r="H21" i="31"/>
  <c r="N21" i="31" s="1"/>
  <c r="D21" i="31"/>
  <c r="B21" i="31"/>
  <c r="T20" i="31"/>
  <c r="Z20" i="31" s="1"/>
  <c r="P20" i="31"/>
  <c r="H20" i="31"/>
  <c r="N20" i="31" s="1"/>
  <c r="D20" i="31"/>
  <c r="T16" i="31"/>
  <c r="Z16" i="31" s="1"/>
  <c r="P16" i="31"/>
  <c r="H16" i="31"/>
  <c r="N16" i="31" s="1"/>
  <c r="D16" i="31"/>
  <c r="B16" i="31"/>
  <c r="T15" i="31"/>
  <c r="Z15" i="31" s="1"/>
  <c r="P15" i="31"/>
  <c r="H15" i="31"/>
  <c r="N15" i="31" s="1"/>
  <c r="D15" i="31"/>
  <c r="T13" i="31"/>
  <c r="P13" i="31"/>
  <c r="H13" i="31"/>
  <c r="N13" i="31" s="1"/>
  <c r="D13" i="31"/>
  <c r="B13" i="31"/>
  <c r="T12" i="31"/>
  <c r="V24" i="31" s="1"/>
  <c r="P12" i="31"/>
  <c r="R20" i="31" s="1"/>
  <c r="H12" i="31"/>
  <c r="J18" i="31" s="1"/>
  <c r="D12" i="31"/>
  <c r="F25" i="31" s="1"/>
  <c r="D5" i="31"/>
  <c r="D4" i="31"/>
  <c r="X120" i="30"/>
  <c r="Z120" i="30" s="1"/>
  <c r="N120" i="30"/>
  <c r="L120" i="30"/>
  <c r="Z116" i="30"/>
  <c r="X116" i="30"/>
  <c r="R116" i="30"/>
  <c r="P116" i="30"/>
  <c r="N116" i="30"/>
  <c r="D116" i="30"/>
  <c r="L116" i="30" s="1"/>
  <c r="B116" i="30"/>
  <c r="Z115" i="30"/>
  <c r="P115" i="30"/>
  <c r="X115" i="30" s="1"/>
  <c r="N115" i="30"/>
  <c r="L115" i="30"/>
  <c r="D115" i="30"/>
  <c r="B115" i="30"/>
  <c r="X114" i="30"/>
  <c r="Z114" i="30" s="1"/>
  <c r="P114" i="30"/>
  <c r="P113" i="30" s="1"/>
  <c r="X113" i="30" s="1"/>
  <c r="Z113" i="30" s="1"/>
  <c r="N114" i="30"/>
  <c r="D114" i="30"/>
  <c r="L114" i="30" s="1"/>
  <c r="B114" i="30"/>
  <c r="V113" i="30"/>
  <c r="T113" i="30"/>
  <c r="N113" i="30"/>
  <c r="H113" i="30"/>
  <c r="Z111" i="30"/>
  <c r="X111" i="30"/>
  <c r="L111" i="30"/>
  <c r="N111" i="30" s="1"/>
  <c r="J111" i="30"/>
  <c r="B111" i="30"/>
  <c r="T110" i="30"/>
  <c r="P110" i="30"/>
  <c r="X110" i="30" s="1"/>
  <c r="L110" i="30"/>
  <c r="H110" i="30"/>
  <c r="N110" i="30" s="1"/>
  <c r="D110" i="30"/>
  <c r="B110" i="30"/>
  <c r="Z109" i="30"/>
  <c r="X109" i="30"/>
  <c r="N109" i="30"/>
  <c r="L109" i="30"/>
  <c r="B109" i="30"/>
  <c r="X108" i="30"/>
  <c r="Z108" i="30" s="1"/>
  <c r="N108" i="30"/>
  <c r="L108" i="30"/>
  <c r="B108" i="30"/>
  <c r="T107" i="30"/>
  <c r="P107" i="30"/>
  <c r="X107" i="30" s="1"/>
  <c r="Z107" i="30" s="1"/>
  <c r="H107" i="30"/>
  <c r="D107" i="30"/>
  <c r="L107" i="30" s="1"/>
  <c r="N107" i="30" s="1"/>
  <c r="B107" i="30"/>
  <c r="X106" i="30"/>
  <c r="Z106" i="30" s="1"/>
  <c r="L106" i="30"/>
  <c r="N106" i="30" s="1"/>
  <c r="B106" i="30"/>
  <c r="T105" i="30"/>
  <c r="P105" i="30"/>
  <c r="X105" i="30" s="1"/>
  <c r="Z105" i="30" s="1"/>
  <c r="L105" i="30"/>
  <c r="N105" i="30" s="1"/>
  <c r="J105" i="30"/>
  <c r="H105" i="30"/>
  <c r="D105" i="30"/>
  <c r="B105" i="30"/>
  <c r="Z104" i="30"/>
  <c r="X104" i="30"/>
  <c r="R104" i="30"/>
  <c r="L104" i="30"/>
  <c r="N104" i="30" s="1"/>
  <c r="B104" i="30"/>
  <c r="X103" i="30"/>
  <c r="Z103" i="30" s="1"/>
  <c r="V103" i="30"/>
  <c r="N103" i="30"/>
  <c r="L103" i="30"/>
  <c r="B103" i="30"/>
  <c r="X102" i="30"/>
  <c r="Z102" i="30" s="1"/>
  <c r="L102" i="30"/>
  <c r="N102" i="30" s="1"/>
  <c r="B102" i="30"/>
  <c r="Z101" i="30"/>
  <c r="X101" i="30"/>
  <c r="N101" i="30"/>
  <c r="L101" i="30"/>
  <c r="B101" i="30"/>
  <c r="X100" i="30"/>
  <c r="T100" i="30"/>
  <c r="Z100" i="30" s="1"/>
  <c r="P100" i="30"/>
  <c r="L100" i="30"/>
  <c r="H100" i="30"/>
  <c r="D100" i="30"/>
  <c r="B100" i="30"/>
  <c r="X99" i="30"/>
  <c r="Z99" i="30" s="1"/>
  <c r="V99" i="30"/>
  <c r="N99" i="30"/>
  <c r="L99" i="30"/>
  <c r="B99" i="30"/>
  <c r="X98" i="30"/>
  <c r="Z98" i="30" s="1"/>
  <c r="N98" i="30"/>
  <c r="L98" i="30"/>
  <c r="B98" i="30"/>
  <c r="Z97" i="30"/>
  <c r="T97" i="30"/>
  <c r="P97" i="30"/>
  <c r="X97" i="30" s="1"/>
  <c r="L97" i="30"/>
  <c r="N97" i="30" s="1"/>
  <c r="J97" i="30"/>
  <c r="H97" i="30"/>
  <c r="D97" i="30"/>
  <c r="B97" i="30"/>
  <c r="Z96" i="30"/>
  <c r="X96" i="30"/>
  <c r="R96" i="30"/>
  <c r="N96" i="30"/>
  <c r="L96" i="30"/>
  <c r="B96" i="30"/>
  <c r="X95" i="30"/>
  <c r="Z95" i="30" s="1"/>
  <c r="V95" i="30"/>
  <c r="N95" i="30"/>
  <c r="L95" i="30"/>
  <c r="B95" i="30"/>
  <c r="X94" i="30"/>
  <c r="T94" i="30"/>
  <c r="Z94" i="30" s="1"/>
  <c r="P94" i="30"/>
  <c r="H94" i="30"/>
  <c r="D94" i="30"/>
  <c r="L94" i="30" s="1"/>
  <c r="B94" i="30"/>
  <c r="Z93" i="30"/>
  <c r="X93" i="30"/>
  <c r="N93" i="30"/>
  <c r="L93" i="30"/>
  <c r="B93" i="30"/>
  <c r="Z92" i="30"/>
  <c r="X92" i="30"/>
  <c r="R92" i="30"/>
  <c r="N92" i="30"/>
  <c r="L92" i="30"/>
  <c r="B92" i="30"/>
  <c r="X91" i="30"/>
  <c r="Z91" i="30" s="1"/>
  <c r="V91" i="30"/>
  <c r="N91" i="30"/>
  <c r="L91" i="30"/>
  <c r="B91" i="30"/>
  <c r="X90" i="30"/>
  <c r="T90" i="30"/>
  <c r="P90" i="30"/>
  <c r="H90" i="30"/>
  <c r="D90" i="30"/>
  <c r="L90" i="30" s="1"/>
  <c r="B90" i="30"/>
  <c r="Z89" i="30"/>
  <c r="X89" i="30"/>
  <c r="N89" i="30"/>
  <c r="L89" i="30"/>
  <c r="B89" i="30"/>
  <c r="Z88" i="30"/>
  <c r="X88" i="30"/>
  <c r="R88" i="30"/>
  <c r="L88" i="30"/>
  <c r="N88" i="30" s="1"/>
  <c r="B88" i="30"/>
  <c r="X87" i="30"/>
  <c r="Z87" i="30" s="1"/>
  <c r="V87" i="30"/>
  <c r="T87" i="30"/>
  <c r="P87" i="30"/>
  <c r="H87" i="30"/>
  <c r="D87" i="30"/>
  <c r="B87" i="30"/>
  <c r="X86" i="30"/>
  <c r="Z86" i="30" s="1"/>
  <c r="L86" i="30"/>
  <c r="N86" i="30" s="1"/>
  <c r="B86" i="30"/>
  <c r="T85" i="30"/>
  <c r="R85" i="30"/>
  <c r="P85" i="30"/>
  <c r="H85" i="30"/>
  <c r="D85" i="30"/>
  <c r="L85" i="30" s="1"/>
  <c r="N85" i="30" s="1"/>
  <c r="B85" i="30"/>
  <c r="X84" i="30"/>
  <c r="Z84" i="30" s="1"/>
  <c r="N84" i="30"/>
  <c r="L84" i="30"/>
  <c r="B84" i="30"/>
  <c r="T83" i="30"/>
  <c r="P83" i="30"/>
  <c r="X83" i="30" s="1"/>
  <c r="Z83" i="30" s="1"/>
  <c r="N83" i="30"/>
  <c r="H83" i="30"/>
  <c r="D83" i="30"/>
  <c r="L83" i="30" s="1"/>
  <c r="B83" i="30"/>
  <c r="X82" i="30"/>
  <c r="Z82" i="30" s="1"/>
  <c r="L82" i="30"/>
  <c r="N82" i="30" s="1"/>
  <c r="B82" i="30"/>
  <c r="Z81" i="30"/>
  <c r="T81" i="30"/>
  <c r="P81" i="30"/>
  <c r="X81" i="30" s="1"/>
  <c r="L81" i="30"/>
  <c r="N81" i="30" s="1"/>
  <c r="J81" i="30"/>
  <c r="H81" i="30"/>
  <c r="D81" i="30"/>
  <c r="B81" i="30"/>
  <c r="Z80" i="30"/>
  <c r="X80" i="30"/>
  <c r="R80" i="30"/>
  <c r="L80" i="30"/>
  <c r="N80" i="30" s="1"/>
  <c r="B80" i="30"/>
  <c r="X79" i="30"/>
  <c r="Z79" i="30" s="1"/>
  <c r="V79" i="30"/>
  <c r="T79" i="30"/>
  <c r="P79" i="30"/>
  <c r="H79" i="30"/>
  <c r="D79" i="30"/>
  <c r="B79" i="30"/>
  <c r="Z78" i="30"/>
  <c r="X78" i="30"/>
  <c r="N78" i="30"/>
  <c r="L78" i="30"/>
  <c r="B78" i="30"/>
  <c r="Z77" i="30"/>
  <c r="X77" i="30"/>
  <c r="N77" i="30"/>
  <c r="L77" i="30"/>
  <c r="B77" i="30"/>
  <c r="T76" i="30"/>
  <c r="P76" i="30"/>
  <c r="X76" i="30" s="1"/>
  <c r="N76" i="30"/>
  <c r="H76" i="30"/>
  <c r="D76" i="30"/>
  <c r="L76" i="30" s="1"/>
  <c r="B76" i="30"/>
  <c r="Z75" i="30"/>
  <c r="X75" i="30"/>
  <c r="N75" i="30"/>
  <c r="L75" i="30"/>
  <c r="J75" i="30"/>
  <c r="B75" i="30"/>
  <c r="X74" i="30"/>
  <c r="Z74" i="30" s="1"/>
  <c r="L74" i="30"/>
  <c r="N74" i="30" s="1"/>
  <c r="B74" i="30"/>
  <c r="T73" i="30"/>
  <c r="R73" i="30"/>
  <c r="P73" i="30"/>
  <c r="H73" i="30"/>
  <c r="D73" i="30"/>
  <c r="L73" i="30" s="1"/>
  <c r="N73" i="30" s="1"/>
  <c r="B73" i="30"/>
  <c r="X72" i="30"/>
  <c r="Z72" i="30" s="1"/>
  <c r="N72" i="30"/>
  <c r="L72" i="30"/>
  <c r="B72" i="30"/>
  <c r="T71" i="30"/>
  <c r="P71" i="30"/>
  <c r="X71" i="30" s="1"/>
  <c r="Z71" i="30" s="1"/>
  <c r="H71" i="30"/>
  <c r="D71" i="30"/>
  <c r="L71" i="30" s="1"/>
  <c r="N71" i="30" s="1"/>
  <c r="B71" i="30"/>
  <c r="Z70" i="30"/>
  <c r="X70" i="30"/>
  <c r="N70" i="30"/>
  <c r="L70" i="30"/>
  <c r="B70" i="30"/>
  <c r="Z69" i="30"/>
  <c r="T69" i="30"/>
  <c r="P69" i="30"/>
  <c r="X69" i="30" s="1"/>
  <c r="N69" i="30"/>
  <c r="L69" i="30"/>
  <c r="J69" i="30"/>
  <c r="H69" i="30"/>
  <c r="D69" i="30"/>
  <c r="B69" i="30"/>
  <c r="Z68" i="30"/>
  <c r="X68" i="30"/>
  <c r="R68" i="30"/>
  <c r="L68" i="30"/>
  <c r="N68" i="30" s="1"/>
  <c r="B68" i="30"/>
  <c r="X67" i="30"/>
  <c r="Z67" i="30" s="1"/>
  <c r="V67" i="30"/>
  <c r="T67" i="30"/>
  <c r="P67" i="30"/>
  <c r="H67" i="30"/>
  <c r="D67" i="30"/>
  <c r="B67" i="30"/>
  <c r="X66" i="30"/>
  <c r="Z66" i="30" s="1"/>
  <c r="L66" i="30"/>
  <c r="N66" i="30" s="1"/>
  <c r="B66" i="30"/>
  <c r="T65" i="30"/>
  <c r="R65" i="30"/>
  <c r="P65" i="30"/>
  <c r="H65" i="30"/>
  <c r="D65" i="30"/>
  <c r="L65" i="30" s="1"/>
  <c r="N65" i="30" s="1"/>
  <c r="B65" i="30"/>
  <c r="X64" i="30"/>
  <c r="Z64" i="30" s="1"/>
  <c r="N64" i="30"/>
  <c r="L64" i="30"/>
  <c r="B64" i="30"/>
  <c r="T63" i="30"/>
  <c r="P63" i="30"/>
  <c r="X63" i="30" s="1"/>
  <c r="Z63" i="30" s="1"/>
  <c r="N63" i="30"/>
  <c r="H63" i="30"/>
  <c r="D63" i="30"/>
  <c r="L63" i="30" s="1"/>
  <c r="B63" i="30"/>
  <c r="Z62" i="30"/>
  <c r="X62" i="30"/>
  <c r="N62" i="30"/>
  <c r="L62" i="30"/>
  <c r="B62" i="30"/>
  <c r="Z61" i="30"/>
  <c r="X61" i="30"/>
  <c r="N61" i="30"/>
  <c r="L61" i="30"/>
  <c r="B61" i="30"/>
  <c r="X60" i="30"/>
  <c r="Z60" i="30" s="1"/>
  <c r="N60" i="30"/>
  <c r="L60" i="30"/>
  <c r="B60" i="30"/>
  <c r="Z59" i="30"/>
  <c r="X59" i="30"/>
  <c r="L59" i="30"/>
  <c r="N59" i="30" s="1"/>
  <c r="J59" i="30"/>
  <c r="B59" i="30"/>
  <c r="Z58" i="30"/>
  <c r="X58" i="30"/>
  <c r="N58" i="30"/>
  <c r="L58" i="30"/>
  <c r="B58" i="30"/>
  <c r="Z57" i="30"/>
  <c r="X57" i="30"/>
  <c r="N57" i="30"/>
  <c r="L57" i="30"/>
  <c r="B57" i="30"/>
  <c r="Z56" i="30"/>
  <c r="X56" i="30"/>
  <c r="R56" i="30"/>
  <c r="L56" i="30"/>
  <c r="N56" i="30" s="1"/>
  <c r="B56" i="30"/>
  <c r="Z55" i="30"/>
  <c r="X55" i="30"/>
  <c r="V55" i="30"/>
  <c r="N55" i="30"/>
  <c r="L55" i="30"/>
  <c r="B55" i="30"/>
  <c r="X54" i="30"/>
  <c r="Z54" i="30" s="1"/>
  <c r="L54" i="30"/>
  <c r="N54" i="30" s="1"/>
  <c r="B54" i="30"/>
  <c r="Z53" i="30"/>
  <c r="X53" i="30"/>
  <c r="N53" i="30"/>
  <c r="L53" i="30"/>
  <c r="B53" i="30"/>
  <c r="X52" i="30"/>
  <c r="T52" i="30"/>
  <c r="Z52" i="30" s="1"/>
  <c r="P52" i="30"/>
  <c r="L52" i="30"/>
  <c r="H52" i="30"/>
  <c r="D52" i="30"/>
  <c r="B52" i="30"/>
  <c r="X51" i="30"/>
  <c r="Z51" i="30" s="1"/>
  <c r="V51" i="30"/>
  <c r="N51" i="30"/>
  <c r="L51" i="30"/>
  <c r="B51" i="30"/>
  <c r="X50" i="30"/>
  <c r="Z50" i="30" s="1"/>
  <c r="L50" i="30"/>
  <c r="N50" i="30" s="1"/>
  <c r="B50" i="30"/>
  <c r="Z49" i="30"/>
  <c r="X49" i="30"/>
  <c r="V49" i="30"/>
  <c r="N49" i="30"/>
  <c r="L49" i="30"/>
  <c r="B49" i="30"/>
  <c r="Z48" i="30"/>
  <c r="X48" i="30"/>
  <c r="N48" i="30"/>
  <c r="L48" i="30"/>
  <c r="F48" i="30"/>
  <c r="B48" i="30"/>
  <c r="Z47" i="30"/>
  <c r="X47" i="30"/>
  <c r="L47" i="30"/>
  <c r="N47" i="30" s="1"/>
  <c r="J47" i="30"/>
  <c r="B47" i="30"/>
  <c r="X46" i="30"/>
  <c r="Z46" i="30" s="1"/>
  <c r="L46" i="30"/>
  <c r="N46" i="30" s="1"/>
  <c r="B46" i="30"/>
  <c r="Z45" i="30"/>
  <c r="X45" i="30"/>
  <c r="N45" i="30"/>
  <c r="L45" i="30"/>
  <c r="B45" i="30"/>
  <c r="Z44" i="30"/>
  <c r="X44" i="30"/>
  <c r="R44" i="30"/>
  <c r="L44" i="30"/>
  <c r="N44" i="30" s="1"/>
  <c r="B44" i="30"/>
  <c r="X43" i="30"/>
  <c r="Z43" i="30" s="1"/>
  <c r="V43" i="30"/>
  <c r="N43" i="30"/>
  <c r="L43" i="30"/>
  <c r="B43" i="30"/>
  <c r="X42" i="30"/>
  <c r="T42" i="30"/>
  <c r="P42" i="30"/>
  <c r="H42" i="30"/>
  <c r="D42" i="30"/>
  <c r="L42" i="30" s="1"/>
  <c r="B42" i="30"/>
  <c r="T41" i="30"/>
  <c r="R41" i="30"/>
  <c r="P41" i="30"/>
  <c r="H41" i="30"/>
  <c r="D41" i="30"/>
  <c r="L41" i="30" s="1"/>
  <c r="N41" i="30" s="1"/>
  <c r="Z37" i="30"/>
  <c r="X37" i="30"/>
  <c r="N37" i="30"/>
  <c r="L37" i="30"/>
  <c r="J37" i="30"/>
  <c r="B37" i="30"/>
  <c r="Z36" i="30"/>
  <c r="X36" i="30"/>
  <c r="V36" i="30"/>
  <c r="R36" i="30"/>
  <c r="N36" i="30"/>
  <c r="L36" i="30"/>
  <c r="B36" i="30"/>
  <c r="Z35" i="30"/>
  <c r="X35" i="30"/>
  <c r="V35" i="30"/>
  <c r="N35" i="30"/>
  <c r="L35" i="30"/>
  <c r="B35" i="30"/>
  <c r="Z34" i="30"/>
  <c r="X34" i="30"/>
  <c r="N34" i="30"/>
  <c r="L34" i="30"/>
  <c r="B34" i="30"/>
  <c r="Z33" i="30"/>
  <c r="X33" i="30"/>
  <c r="V33" i="30"/>
  <c r="N33" i="30"/>
  <c r="L33" i="30"/>
  <c r="B33" i="30"/>
  <c r="Z32" i="30"/>
  <c r="X32" i="30"/>
  <c r="N32" i="30"/>
  <c r="L32" i="30"/>
  <c r="J32" i="30"/>
  <c r="F32" i="30"/>
  <c r="B32" i="30"/>
  <c r="Z31" i="30"/>
  <c r="X31" i="30"/>
  <c r="V31" i="30"/>
  <c r="N31" i="30"/>
  <c r="L31" i="30"/>
  <c r="J31" i="30"/>
  <c r="B31" i="30"/>
  <c r="Z30" i="30"/>
  <c r="X30" i="30"/>
  <c r="N30" i="30"/>
  <c r="L30" i="30"/>
  <c r="B30" i="30"/>
  <c r="Z29" i="30"/>
  <c r="X29" i="30"/>
  <c r="N29" i="30"/>
  <c r="L29" i="30"/>
  <c r="J29" i="30"/>
  <c r="B29" i="30"/>
  <c r="Z28" i="30"/>
  <c r="X28" i="30"/>
  <c r="V28" i="30"/>
  <c r="R28" i="30"/>
  <c r="N28" i="30"/>
  <c r="L28" i="30"/>
  <c r="B28" i="30"/>
  <c r="Z27" i="30"/>
  <c r="X27" i="30"/>
  <c r="V27" i="30"/>
  <c r="N27" i="30"/>
  <c r="L27" i="30"/>
  <c r="B27" i="30"/>
  <c r="Z26" i="30"/>
  <c r="X26" i="30"/>
  <c r="N26" i="30"/>
  <c r="L26" i="30"/>
  <c r="B26" i="30"/>
  <c r="Z25" i="30"/>
  <c r="X25" i="30"/>
  <c r="V25" i="30"/>
  <c r="N25" i="30"/>
  <c r="L25" i="30"/>
  <c r="B25" i="30"/>
  <c r="Z24" i="30"/>
  <c r="X24" i="30"/>
  <c r="N24" i="30"/>
  <c r="L24" i="30"/>
  <c r="J24" i="30"/>
  <c r="B24" i="30"/>
  <c r="Z23" i="30"/>
  <c r="X23" i="30"/>
  <c r="V23" i="30"/>
  <c r="N23" i="30"/>
  <c r="L23" i="30"/>
  <c r="J23" i="30"/>
  <c r="B23" i="30"/>
  <c r="Z22" i="30"/>
  <c r="X22" i="30"/>
  <c r="V22" i="30"/>
  <c r="N22" i="30"/>
  <c r="L22" i="30"/>
  <c r="B22" i="30"/>
  <c r="Z21" i="30"/>
  <c r="X21" i="30"/>
  <c r="N21" i="30"/>
  <c r="L21" i="30"/>
  <c r="J21" i="30"/>
  <c r="B21" i="30"/>
  <c r="Z20" i="30"/>
  <c r="X20" i="30"/>
  <c r="V20" i="30"/>
  <c r="R20" i="30"/>
  <c r="N20" i="30"/>
  <c r="L20" i="30"/>
  <c r="B20" i="30"/>
  <c r="X19" i="30"/>
  <c r="Z19" i="30" s="1"/>
  <c r="V19" i="30"/>
  <c r="N19" i="30"/>
  <c r="L19" i="30"/>
  <c r="J19" i="30"/>
  <c r="B19" i="30"/>
  <c r="X18" i="30"/>
  <c r="Z18" i="30" s="1"/>
  <c r="T18" i="30"/>
  <c r="P18" i="30"/>
  <c r="H18" i="30"/>
  <c r="D18" i="30"/>
  <c r="L18" i="30" s="1"/>
  <c r="Z16" i="30"/>
  <c r="X16" i="30"/>
  <c r="P16" i="30"/>
  <c r="N16" i="30"/>
  <c r="D16" i="30"/>
  <c r="L16" i="30" s="1"/>
  <c r="B16" i="30"/>
  <c r="Z15" i="30"/>
  <c r="P15" i="30"/>
  <c r="X15" i="30" s="1"/>
  <c r="N15" i="30"/>
  <c r="D15" i="30"/>
  <c r="L15" i="30" s="1"/>
  <c r="B15" i="30"/>
  <c r="Z14" i="30"/>
  <c r="X14" i="30"/>
  <c r="P14" i="30"/>
  <c r="N14" i="30"/>
  <c r="L14" i="30"/>
  <c r="D14" i="30"/>
  <c r="B14" i="30"/>
  <c r="Z13" i="30"/>
  <c r="P13" i="30"/>
  <c r="X13" i="30" s="1"/>
  <c r="L13" i="30"/>
  <c r="N13" i="30" s="1"/>
  <c r="D13" i="30"/>
  <c r="D12" i="30" s="1"/>
  <c r="B13" i="30"/>
  <c r="X12" i="30"/>
  <c r="Z12" i="30" s="1"/>
  <c r="T12" i="30"/>
  <c r="V106" i="30" s="1"/>
  <c r="P12" i="30"/>
  <c r="H12" i="30"/>
  <c r="D4" i="30"/>
  <c r="B39" i="29"/>
  <c r="B38" i="29"/>
  <c r="T34" i="29"/>
  <c r="Z34" i="29" s="1"/>
  <c r="P34" i="29"/>
  <c r="H34" i="29"/>
  <c r="N34" i="29" s="1"/>
  <c r="D34" i="29"/>
  <c r="T33" i="29"/>
  <c r="Z33" i="29" s="1"/>
  <c r="P33" i="29"/>
  <c r="H33" i="29"/>
  <c r="N33" i="29" s="1"/>
  <c r="D33" i="29"/>
  <c r="T29" i="29"/>
  <c r="Z29" i="29" s="1"/>
  <c r="P29" i="29"/>
  <c r="H29" i="29"/>
  <c r="N29" i="29" s="1"/>
  <c r="D29" i="29"/>
  <c r="T25" i="29"/>
  <c r="Z25" i="29" s="1"/>
  <c r="P25" i="29"/>
  <c r="H25" i="29"/>
  <c r="N25" i="29" s="1"/>
  <c r="D25" i="29"/>
  <c r="B25" i="29"/>
  <c r="T24" i="29"/>
  <c r="Z24" i="29" s="1"/>
  <c r="P24" i="29"/>
  <c r="H24" i="29"/>
  <c r="N24" i="29" s="1"/>
  <c r="D24" i="29"/>
  <c r="T22" i="29"/>
  <c r="Z22" i="29" s="1"/>
  <c r="P22" i="29"/>
  <c r="H22" i="29"/>
  <c r="N22" i="29" s="1"/>
  <c r="D22" i="29"/>
  <c r="B22" i="29"/>
  <c r="T21" i="29"/>
  <c r="Z21" i="29" s="1"/>
  <c r="P21" i="29"/>
  <c r="H21" i="29"/>
  <c r="N21" i="29" s="1"/>
  <c r="D21" i="29"/>
  <c r="B21" i="29"/>
  <c r="T20" i="29"/>
  <c r="Z20" i="29" s="1"/>
  <c r="P20" i="29"/>
  <c r="H20" i="29"/>
  <c r="N20" i="29" s="1"/>
  <c r="D20" i="29"/>
  <c r="T16" i="29"/>
  <c r="Z16" i="29" s="1"/>
  <c r="P16" i="29"/>
  <c r="H16" i="29"/>
  <c r="N16" i="29" s="1"/>
  <c r="D16" i="29"/>
  <c r="B16" i="29"/>
  <c r="T15" i="29"/>
  <c r="Z15" i="29" s="1"/>
  <c r="P15" i="29"/>
  <c r="H15" i="29"/>
  <c r="N15" i="29" s="1"/>
  <c r="D15" i="29"/>
  <c r="T13" i="29"/>
  <c r="Z13" i="29" s="1"/>
  <c r="P13" i="29"/>
  <c r="H13" i="29"/>
  <c r="N13" i="29" s="1"/>
  <c r="D13" i="29"/>
  <c r="B13" i="29"/>
  <c r="T12" i="29"/>
  <c r="V34" i="29" s="1"/>
  <c r="P12" i="29"/>
  <c r="H12" i="29"/>
  <c r="J18" i="29" s="1"/>
  <c r="D12" i="29"/>
  <c r="F24" i="29" s="1"/>
  <c r="D5" i="29"/>
  <c r="D4" i="29"/>
  <c r="B39" i="28"/>
  <c r="B38" i="28"/>
  <c r="T34" i="28"/>
  <c r="Z34" i="28" s="1"/>
  <c r="P34" i="28"/>
  <c r="H34" i="28"/>
  <c r="N34" i="28" s="1"/>
  <c r="D34" i="28"/>
  <c r="T33" i="28"/>
  <c r="Z33" i="28" s="1"/>
  <c r="P33" i="28"/>
  <c r="H33" i="28"/>
  <c r="N33" i="28" s="1"/>
  <c r="D33" i="28"/>
  <c r="T29" i="28"/>
  <c r="Z29" i="28" s="1"/>
  <c r="P29" i="28"/>
  <c r="H29" i="28"/>
  <c r="N29" i="28" s="1"/>
  <c r="D29" i="28"/>
  <c r="T25" i="28"/>
  <c r="Z25" i="28" s="1"/>
  <c r="P25" i="28"/>
  <c r="H25" i="28"/>
  <c r="N25" i="28" s="1"/>
  <c r="D25" i="28"/>
  <c r="B25" i="28"/>
  <c r="T24" i="28"/>
  <c r="Z24" i="28" s="1"/>
  <c r="P24" i="28"/>
  <c r="H24" i="28"/>
  <c r="N24" i="28" s="1"/>
  <c r="D24" i="28"/>
  <c r="T22" i="28"/>
  <c r="P22" i="28"/>
  <c r="H22" i="28"/>
  <c r="N22" i="28" s="1"/>
  <c r="D22" i="28"/>
  <c r="B22" i="28"/>
  <c r="T21" i="28"/>
  <c r="Z21" i="28" s="1"/>
  <c r="P21" i="28"/>
  <c r="H21" i="28"/>
  <c r="N21" i="28" s="1"/>
  <c r="D21" i="28"/>
  <c r="B21" i="28"/>
  <c r="T20" i="28"/>
  <c r="Z20" i="28" s="1"/>
  <c r="P20" i="28"/>
  <c r="H20" i="28"/>
  <c r="D20" i="28"/>
  <c r="T16" i="28"/>
  <c r="Z16" i="28" s="1"/>
  <c r="P16" i="28"/>
  <c r="H16" i="28"/>
  <c r="D16" i="28"/>
  <c r="B16" i="28"/>
  <c r="T15" i="28"/>
  <c r="Z15" i="28" s="1"/>
  <c r="P15" i="28"/>
  <c r="H15" i="28"/>
  <c r="N15" i="28" s="1"/>
  <c r="D15" i="28"/>
  <c r="T13" i="28"/>
  <c r="Z13" i="28" s="1"/>
  <c r="P13" i="28"/>
  <c r="H13" i="28"/>
  <c r="N13" i="28" s="1"/>
  <c r="D13" i="28"/>
  <c r="B13" i="28"/>
  <c r="T12" i="28"/>
  <c r="P12" i="28"/>
  <c r="R25" i="28" s="1"/>
  <c r="H12" i="28"/>
  <c r="J21" i="28" s="1"/>
  <c r="D12" i="28"/>
  <c r="F24" i="28" s="1"/>
  <c r="D5" i="28"/>
  <c r="D4" i="28"/>
  <c r="Z88" i="27"/>
  <c r="X88" i="27"/>
  <c r="L88" i="27"/>
  <c r="N88" i="27" s="1"/>
  <c r="Z84" i="27"/>
  <c r="X84" i="27"/>
  <c r="P84" i="27"/>
  <c r="N84" i="27"/>
  <c r="D84" i="27"/>
  <c r="L84" i="27" s="1"/>
  <c r="B84" i="27"/>
  <c r="Z83" i="27"/>
  <c r="X83" i="27"/>
  <c r="P83" i="27"/>
  <c r="N83" i="27"/>
  <c r="D83" i="27"/>
  <c r="L83" i="27" s="1"/>
  <c r="B83" i="27"/>
  <c r="P82" i="27"/>
  <c r="X82" i="27" s="1"/>
  <c r="Z82" i="27" s="1"/>
  <c r="D82" i="27"/>
  <c r="L82" i="27" s="1"/>
  <c r="N82" i="27" s="1"/>
  <c r="B82" i="27"/>
  <c r="Z81" i="27"/>
  <c r="X81" i="27"/>
  <c r="P81" i="27"/>
  <c r="D81" i="27"/>
  <c r="B81" i="27"/>
  <c r="T80" i="27"/>
  <c r="Z80" i="27" s="1"/>
  <c r="P80" i="27"/>
  <c r="X80" i="27" s="1"/>
  <c r="H80" i="27"/>
  <c r="X78" i="27"/>
  <c r="Z78" i="27" s="1"/>
  <c r="N78" i="27"/>
  <c r="L78" i="27"/>
  <c r="B78" i="27"/>
  <c r="Z77" i="27"/>
  <c r="X77" i="27"/>
  <c r="N77" i="27"/>
  <c r="L77" i="27"/>
  <c r="B77" i="27"/>
  <c r="T76" i="27"/>
  <c r="P76" i="27"/>
  <c r="X76" i="27" s="1"/>
  <c r="Z76" i="27" s="1"/>
  <c r="L76" i="27"/>
  <c r="N76" i="27" s="1"/>
  <c r="H76" i="27"/>
  <c r="D76" i="27"/>
  <c r="B76" i="27"/>
  <c r="Z75" i="27"/>
  <c r="X75" i="27"/>
  <c r="L75" i="27"/>
  <c r="N75" i="27" s="1"/>
  <c r="B75" i="27"/>
  <c r="X74" i="27"/>
  <c r="Z74" i="27" s="1"/>
  <c r="N74" i="27"/>
  <c r="L74" i="27"/>
  <c r="B74" i="27"/>
  <c r="T73" i="27"/>
  <c r="Z73" i="27" s="1"/>
  <c r="P73" i="27"/>
  <c r="X73" i="27" s="1"/>
  <c r="L73" i="27"/>
  <c r="N73" i="27" s="1"/>
  <c r="J73" i="27"/>
  <c r="H73" i="27"/>
  <c r="D73" i="27"/>
  <c r="B73" i="27"/>
  <c r="X72" i="27"/>
  <c r="Z72" i="27" s="1"/>
  <c r="N72" i="27"/>
  <c r="L72" i="27"/>
  <c r="B72" i="27"/>
  <c r="T71" i="27"/>
  <c r="P71" i="27"/>
  <c r="X71" i="27" s="1"/>
  <c r="H71" i="27"/>
  <c r="D71" i="27"/>
  <c r="L71" i="27" s="1"/>
  <c r="B71" i="27"/>
  <c r="Z70" i="27"/>
  <c r="X70" i="27"/>
  <c r="L70" i="27"/>
  <c r="N70" i="27" s="1"/>
  <c r="B70" i="27"/>
  <c r="Z69" i="27"/>
  <c r="X69" i="27"/>
  <c r="L69" i="27"/>
  <c r="N69" i="27" s="1"/>
  <c r="B69" i="27"/>
  <c r="Z68" i="27"/>
  <c r="X68" i="27"/>
  <c r="N68" i="27"/>
  <c r="L68" i="27"/>
  <c r="B68" i="27"/>
  <c r="T67" i="27"/>
  <c r="Z67" i="27" s="1"/>
  <c r="P67" i="27"/>
  <c r="X67" i="27" s="1"/>
  <c r="H67" i="27"/>
  <c r="D67" i="27"/>
  <c r="L67" i="27" s="1"/>
  <c r="N67" i="27" s="1"/>
  <c r="B67" i="27"/>
  <c r="X66" i="27"/>
  <c r="Z66" i="27" s="1"/>
  <c r="L66" i="27"/>
  <c r="N66" i="27" s="1"/>
  <c r="B66" i="27"/>
  <c r="T65" i="27"/>
  <c r="P65" i="27"/>
  <c r="X65" i="27" s="1"/>
  <c r="Z65" i="27" s="1"/>
  <c r="L65" i="27"/>
  <c r="N65" i="27" s="1"/>
  <c r="J65" i="27"/>
  <c r="H65" i="27"/>
  <c r="D65" i="27"/>
  <c r="B65" i="27"/>
  <c r="X64" i="27"/>
  <c r="Z64" i="27" s="1"/>
  <c r="N64" i="27"/>
  <c r="L64" i="27"/>
  <c r="B64" i="27"/>
  <c r="X63" i="27"/>
  <c r="Z63" i="27" s="1"/>
  <c r="V63" i="27"/>
  <c r="T63" i="27"/>
  <c r="P63" i="27"/>
  <c r="H63" i="27"/>
  <c r="N63" i="27" s="1"/>
  <c r="D63" i="27"/>
  <c r="B63" i="27"/>
  <c r="X62" i="27"/>
  <c r="Z62" i="27" s="1"/>
  <c r="L62" i="27"/>
  <c r="N62" i="27" s="1"/>
  <c r="B62" i="27"/>
  <c r="T61" i="27"/>
  <c r="P61" i="27"/>
  <c r="H61" i="27"/>
  <c r="N61" i="27" s="1"/>
  <c r="D61" i="27"/>
  <c r="L61" i="27" s="1"/>
  <c r="B61" i="27"/>
  <c r="Z60" i="27"/>
  <c r="X60" i="27"/>
  <c r="L60" i="27"/>
  <c r="N60" i="27" s="1"/>
  <c r="B60" i="27"/>
  <c r="T59" i="27"/>
  <c r="Z59" i="27" s="1"/>
  <c r="P59" i="27"/>
  <c r="X59" i="27" s="1"/>
  <c r="N59" i="27"/>
  <c r="H59" i="27"/>
  <c r="D59" i="27"/>
  <c r="L59" i="27" s="1"/>
  <c r="B59" i="27"/>
  <c r="X58" i="27"/>
  <c r="Z58" i="27" s="1"/>
  <c r="L58" i="27"/>
  <c r="N58" i="27" s="1"/>
  <c r="B58" i="27"/>
  <c r="T57" i="27"/>
  <c r="P57" i="27"/>
  <c r="X57" i="27" s="1"/>
  <c r="Z57" i="27" s="1"/>
  <c r="L57" i="27"/>
  <c r="N57" i="27" s="1"/>
  <c r="J57" i="27"/>
  <c r="H57" i="27"/>
  <c r="D57" i="27"/>
  <c r="B57" i="27"/>
  <c r="X56" i="27"/>
  <c r="Z56" i="27" s="1"/>
  <c r="N56" i="27"/>
  <c r="L56" i="27"/>
  <c r="B56" i="27"/>
  <c r="X55" i="27"/>
  <c r="Z55" i="27" s="1"/>
  <c r="V55" i="27"/>
  <c r="T55" i="27"/>
  <c r="P55" i="27"/>
  <c r="H55" i="27"/>
  <c r="F55" i="27"/>
  <c r="D55" i="27"/>
  <c r="B55" i="27"/>
  <c r="Z54" i="27"/>
  <c r="X54" i="27"/>
  <c r="N54" i="27"/>
  <c r="L54" i="27"/>
  <c r="B54" i="27"/>
  <c r="Z53" i="27"/>
  <c r="X53" i="27"/>
  <c r="N53" i="27"/>
  <c r="L53" i="27"/>
  <c r="B53" i="27"/>
  <c r="X52" i="27"/>
  <c r="Z52" i="27" s="1"/>
  <c r="N52" i="27"/>
  <c r="L52" i="27"/>
  <c r="B52" i="27"/>
  <c r="X51" i="27"/>
  <c r="Z51" i="27" s="1"/>
  <c r="V51" i="27"/>
  <c r="N51" i="27"/>
  <c r="L51" i="27"/>
  <c r="B51" i="27"/>
  <c r="Z50" i="27"/>
  <c r="X50" i="27"/>
  <c r="N50" i="27"/>
  <c r="L50" i="27"/>
  <c r="B50" i="27"/>
  <c r="Z49" i="27"/>
  <c r="X49" i="27"/>
  <c r="L49" i="27"/>
  <c r="N49" i="27" s="1"/>
  <c r="B49" i="27"/>
  <c r="Z48" i="27"/>
  <c r="X48" i="27"/>
  <c r="L48" i="27"/>
  <c r="N48" i="27" s="1"/>
  <c r="B48" i="27"/>
  <c r="Z47" i="27"/>
  <c r="X47" i="27"/>
  <c r="N47" i="27"/>
  <c r="L47" i="27"/>
  <c r="J47" i="27"/>
  <c r="B47" i="27"/>
  <c r="X46" i="27"/>
  <c r="Z46" i="27" s="1"/>
  <c r="L46" i="27"/>
  <c r="N46" i="27" s="1"/>
  <c r="B46" i="27"/>
  <c r="Z45" i="27"/>
  <c r="X45" i="27"/>
  <c r="N45" i="27"/>
  <c r="L45" i="27"/>
  <c r="B45" i="27"/>
  <c r="T44" i="27"/>
  <c r="P44" i="27"/>
  <c r="H44" i="27"/>
  <c r="D44" i="27"/>
  <c r="L44" i="27" s="1"/>
  <c r="B44" i="27"/>
  <c r="Z43" i="27"/>
  <c r="X43" i="27"/>
  <c r="L43" i="27"/>
  <c r="N43" i="27" s="1"/>
  <c r="J43" i="27"/>
  <c r="B43" i="27"/>
  <c r="X42" i="27"/>
  <c r="Z42" i="27" s="1"/>
  <c r="L42" i="27"/>
  <c r="N42" i="27" s="1"/>
  <c r="B42" i="27"/>
  <c r="X41" i="27"/>
  <c r="Z41" i="27" s="1"/>
  <c r="N41" i="27"/>
  <c r="L41" i="27"/>
  <c r="B41" i="27"/>
  <c r="Z40" i="27"/>
  <c r="X40" i="27"/>
  <c r="N40" i="27"/>
  <c r="L40" i="27"/>
  <c r="B40" i="27"/>
  <c r="Z39" i="27"/>
  <c r="X39" i="27"/>
  <c r="V39" i="27"/>
  <c r="N39" i="27"/>
  <c r="L39" i="27"/>
  <c r="B39" i="27"/>
  <c r="X38" i="27"/>
  <c r="Z38" i="27" s="1"/>
  <c r="L38" i="27"/>
  <c r="N38" i="27" s="1"/>
  <c r="B38" i="27"/>
  <c r="Z37" i="27"/>
  <c r="X37" i="27"/>
  <c r="L37" i="27"/>
  <c r="N37" i="27" s="1"/>
  <c r="B37" i="27"/>
  <c r="Z36" i="27"/>
  <c r="X36" i="27"/>
  <c r="L36" i="27"/>
  <c r="N36" i="27" s="1"/>
  <c r="B36" i="27"/>
  <c r="Z35" i="27"/>
  <c r="X35" i="27"/>
  <c r="L35" i="27"/>
  <c r="N35" i="27" s="1"/>
  <c r="J35" i="27"/>
  <c r="B35" i="27"/>
  <c r="X34" i="27"/>
  <c r="Z34" i="27" s="1"/>
  <c r="L34" i="27"/>
  <c r="N34" i="27" s="1"/>
  <c r="B34" i="27"/>
  <c r="T33" i="27"/>
  <c r="P33" i="27"/>
  <c r="H33" i="27"/>
  <c r="D33" i="27"/>
  <c r="L33" i="27" s="1"/>
  <c r="B33" i="27"/>
  <c r="T32" i="27"/>
  <c r="P32" i="27"/>
  <c r="X32" i="27" s="1"/>
  <c r="L32" i="27"/>
  <c r="N32" i="27" s="1"/>
  <c r="H32" i="27"/>
  <c r="D32" i="27"/>
  <c r="T30" i="27"/>
  <c r="D30" i="27"/>
  <c r="Z28" i="27"/>
  <c r="X28" i="27"/>
  <c r="N28" i="27"/>
  <c r="L28" i="27"/>
  <c r="J28" i="27"/>
  <c r="B28" i="27"/>
  <c r="Z27" i="27"/>
  <c r="X27" i="27"/>
  <c r="N27" i="27"/>
  <c r="L27" i="27"/>
  <c r="J27" i="27"/>
  <c r="B27" i="27"/>
  <c r="Z26" i="27"/>
  <c r="X26" i="27"/>
  <c r="N26" i="27"/>
  <c r="L26" i="27"/>
  <c r="B26" i="27"/>
  <c r="Z25" i="27"/>
  <c r="X25" i="27"/>
  <c r="N25" i="27"/>
  <c r="L25" i="27"/>
  <c r="B25" i="27"/>
  <c r="Z24" i="27"/>
  <c r="X24" i="27"/>
  <c r="N24" i="27"/>
  <c r="L24" i="27"/>
  <c r="B24" i="27"/>
  <c r="Z23" i="27"/>
  <c r="X23" i="27"/>
  <c r="V23" i="27"/>
  <c r="N23" i="27"/>
  <c r="L23" i="27"/>
  <c r="J23" i="27"/>
  <c r="B23" i="27"/>
  <c r="Z22" i="27"/>
  <c r="X22" i="27"/>
  <c r="N22" i="27"/>
  <c r="L22" i="27"/>
  <c r="J22" i="27"/>
  <c r="B22" i="27"/>
  <c r="Z21" i="27"/>
  <c r="X21" i="27"/>
  <c r="N21" i="27"/>
  <c r="L21" i="27"/>
  <c r="J21" i="27"/>
  <c r="B21" i="27"/>
  <c r="Z20" i="27"/>
  <c r="X20" i="27"/>
  <c r="N20" i="27"/>
  <c r="L20" i="27"/>
  <c r="J20" i="27"/>
  <c r="B20" i="27"/>
  <c r="Z19" i="27"/>
  <c r="X19" i="27"/>
  <c r="V19" i="27"/>
  <c r="L19" i="27"/>
  <c r="N19" i="27" s="1"/>
  <c r="J19" i="27"/>
  <c r="B19" i="27"/>
  <c r="T18" i="27"/>
  <c r="Z18" i="27" s="1"/>
  <c r="P18" i="27"/>
  <c r="X18" i="27" s="1"/>
  <c r="H18" i="27"/>
  <c r="N18" i="27" s="1"/>
  <c r="D18" i="27"/>
  <c r="L18" i="27" s="1"/>
  <c r="Z16" i="27"/>
  <c r="X16" i="27"/>
  <c r="P16" i="27"/>
  <c r="N16" i="27"/>
  <c r="D16" i="27"/>
  <c r="D12" i="27" s="1"/>
  <c r="F68" i="27" s="1"/>
  <c r="B16" i="27"/>
  <c r="Z15" i="27"/>
  <c r="P15" i="27"/>
  <c r="N15" i="27"/>
  <c r="L15" i="27"/>
  <c r="D15" i="27"/>
  <c r="B15" i="27"/>
  <c r="Z14" i="27"/>
  <c r="X14" i="27"/>
  <c r="P14" i="27"/>
  <c r="N14" i="27"/>
  <c r="D14" i="27"/>
  <c r="L14" i="27" s="1"/>
  <c r="B14" i="27"/>
  <c r="P13" i="27"/>
  <c r="X13" i="27" s="1"/>
  <c r="Z13" i="27" s="1"/>
  <c r="L13" i="27"/>
  <c r="N13" i="27" s="1"/>
  <c r="D13" i="27"/>
  <c r="B13" i="27"/>
  <c r="T12" i="27"/>
  <c r="H12" i="27"/>
  <c r="J72" i="27" s="1"/>
  <c r="D4" i="27"/>
  <c r="B39" i="26"/>
  <c r="B38" i="26"/>
  <c r="T34" i="26"/>
  <c r="Z34" i="26" s="1"/>
  <c r="P34" i="26"/>
  <c r="H34" i="26"/>
  <c r="N34" i="26" s="1"/>
  <c r="D34" i="26"/>
  <c r="T33" i="26"/>
  <c r="Z33" i="26" s="1"/>
  <c r="P33" i="26"/>
  <c r="H33" i="26"/>
  <c r="N33" i="26" s="1"/>
  <c r="D33" i="26"/>
  <c r="T29" i="26"/>
  <c r="Z29" i="26" s="1"/>
  <c r="P29" i="26"/>
  <c r="H29" i="26"/>
  <c r="N29" i="26" s="1"/>
  <c r="D29" i="26"/>
  <c r="T25" i="26"/>
  <c r="Z25" i="26" s="1"/>
  <c r="P25" i="26"/>
  <c r="H25" i="26"/>
  <c r="N25" i="26" s="1"/>
  <c r="D25" i="26"/>
  <c r="B25" i="26"/>
  <c r="T24" i="26"/>
  <c r="Z24" i="26" s="1"/>
  <c r="P24" i="26"/>
  <c r="H24" i="26"/>
  <c r="N24" i="26" s="1"/>
  <c r="D24" i="26"/>
  <c r="T22" i="26"/>
  <c r="Z22" i="26" s="1"/>
  <c r="P22" i="26"/>
  <c r="H22" i="26"/>
  <c r="D22" i="26"/>
  <c r="B22" i="26"/>
  <c r="T21" i="26"/>
  <c r="Z21" i="26" s="1"/>
  <c r="P21" i="26"/>
  <c r="H21" i="26"/>
  <c r="N21" i="26" s="1"/>
  <c r="D21" i="26"/>
  <c r="B21" i="26"/>
  <c r="T20" i="26"/>
  <c r="Z20" i="26" s="1"/>
  <c r="P20" i="26"/>
  <c r="H20" i="26"/>
  <c r="N20" i="26" s="1"/>
  <c r="D20" i="26"/>
  <c r="T16" i="26"/>
  <c r="Z16" i="26" s="1"/>
  <c r="P16" i="26"/>
  <c r="H16" i="26"/>
  <c r="N16" i="26" s="1"/>
  <c r="D16" i="26"/>
  <c r="B16" i="26"/>
  <c r="T15" i="26"/>
  <c r="Z15" i="26" s="1"/>
  <c r="P15" i="26"/>
  <c r="H15" i="26"/>
  <c r="N15" i="26" s="1"/>
  <c r="D15" i="26"/>
  <c r="T13" i="26"/>
  <c r="Z13" i="26" s="1"/>
  <c r="P13" i="26"/>
  <c r="H13" i="26"/>
  <c r="D13" i="26"/>
  <c r="B13" i="26"/>
  <c r="T12" i="26"/>
  <c r="V22" i="26" s="1"/>
  <c r="P12" i="26"/>
  <c r="R18" i="26" s="1"/>
  <c r="H12" i="26"/>
  <c r="D12" i="26"/>
  <c r="F22" i="26" s="1"/>
  <c r="D5" i="26"/>
  <c r="D4" i="26"/>
  <c r="B39" i="25"/>
  <c r="B38" i="25"/>
  <c r="T34" i="25"/>
  <c r="Z34" i="25" s="1"/>
  <c r="P34" i="25"/>
  <c r="H34" i="25"/>
  <c r="N34" i="25" s="1"/>
  <c r="D34" i="25"/>
  <c r="T33" i="25"/>
  <c r="Z33" i="25" s="1"/>
  <c r="P33" i="25"/>
  <c r="H33" i="25"/>
  <c r="D33" i="25"/>
  <c r="T29" i="25"/>
  <c r="Z29" i="25" s="1"/>
  <c r="P29" i="25"/>
  <c r="H29" i="25"/>
  <c r="D29" i="25"/>
  <c r="T25" i="25"/>
  <c r="Z25" i="25" s="1"/>
  <c r="P25" i="25"/>
  <c r="H25" i="25"/>
  <c r="D25" i="25"/>
  <c r="B25" i="25"/>
  <c r="T24" i="25"/>
  <c r="Z24" i="25" s="1"/>
  <c r="P24" i="25"/>
  <c r="H24" i="25"/>
  <c r="N24" i="25" s="1"/>
  <c r="D24" i="25"/>
  <c r="T22" i="25"/>
  <c r="Z22" i="25" s="1"/>
  <c r="P22" i="25"/>
  <c r="H22" i="25"/>
  <c r="N22" i="25" s="1"/>
  <c r="D22" i="25"/>
  <c r="B22" i="25"/>
  <c r="T21" i="25"/>
  <c r="P21" i="25"/>
  <c r="H21" i="25"/>
  <c r="N21" i="25" s="1"/>
  <c r="D21" i="25"/>
  <c r="B21" i="25"/>
  <c r="T20" i="25"/>
  <c r="Z20" i="25" s="1"/>
  <c r="P20" i="25"/>
  <c r="H20" i="25"/>
  <c r="N20" i="25" s="1"/>
  <c r="D20" i="25"/>
  <c r="T16" i="25"/>
  <c r="Z16" i="25" s="1"/>
  <c r="P16" i="25"/>
  <c r="H16" i="25"/>
  <c r="N16" i="25" s="1"/>
  <c r="D16" i="25"/>
  <c r="B16" i="25"/>
  <c r="T15" i="25"/>
  <c r="Z15" i="25" s="1"/>
  <c r="P15" i="25"/>
  <c r="H15" i="25"/>
  <c r="D15" i="25"/>
  <c r="T13" i="25"/>
  <c r="Z13" i="25" s="1"/>
  <c r="P13" i="25"/>
  <c r="H13" i="25"/>
  <c r="N13" i="25" s="1"/>
  <c r="D13" i="25"/>
  <c r="B13" i="25"/>
  <c r="T12" i="25"/>
  <c r="V36" i="25" s="1"/>
  <c r="P12" i="25"/>
  <c r="R21" i="25" s="1"/>
  <c r="H12" i="25"/>
  <c r="J20" i="25" s="1"/>
  <c r="D12" i="25"/>
  <c r="F36" i="25" s="1"/>
  <c r="D5" i="25"/>
  <c r="D4" i="25"/>
  <c r="X84" i="24"/>
  <c r="Z84" i="24" s="1"/>
  <c r="V84" i="24"/>
  <c r="N84" i="24"/>
  <c r="L84" i="24"/>
  <c r="T80" i="24"/>
  <c r="Z80" i="24" s="1"/>
  <c r="P80" i="24"/>
  <c r="X80" i="24" s="1"/>
  <c r="N80" i="24"/>
  <c r="H80" i="24"/>
  <c r="D80" i="24"/>
  <c r="L80" i="24" s="1"/>
  <c r="X78" i="24"/>
  <c r="Z78" i="24" s="1"/>
  <c r="V78" i="24"/>
  <c r="N78" i="24"/>
  <c r="L78" i="24"/>
  <c r="B78" i="24"/>
  <c r="X77" i="24"/>
  <c r="Z77" i="24" s="1"/>
  <c r="T77" i="24"/>
  <c r="P77" i="24"/>
  <c r="H77" i="24"/>
  <c r="D77" i="24"/>
  <c r="B77" i="24"/>
  <c r="Z76" i="24"/>
  <c r="X76" i="24"/>
  <c r="N76" i="24"/>
  <c r="L76" i="24"/>
  <c r="B76" i="24"/>
  <c r="X75" i="24"/>
  <c r="Z75" i="24" s="1"/>
  <c r="L75" i="24"/>
  <c r="N75" i="24" s="1"/>
  <c r="B75" i="24"/>
  <c r="Z74" i="24"/>
  <c r="X74" i="24"/>
  <c r="V74" i="24"/>
  <c r="L74" i="24"/>
  <c r="N74" i="24" s="1"/>
  <c r="B74" i="24"/>
  <c r="X73" i="24"/>
  <c r="Z73" i="24" s="1"/>
  <c r="T73" i="24"/>
  <c r="P73" i="24"/>
  <c r="H73" i="24"/>
  <c r="D73" i="24"/>
  <c r="B73" i="24"/>
  <c r="Z72" i="24"/>
  <c r="X72" i="24"/>
  <c r="N72" i="24"/>
  <c r="L72" i="24"/>
  <c r="B72" i="24"/>
  <c r="Z71" i="24"/>
  <c r="X71" i="24"/>
  <c r="N71" i="24"/>
  <c r="L71" i="24"/>
  <c r="B71" i="24"/>
  <c r="Z70" i="24"/>
  <c r="X70" i="24"/>
  <c r="V70" i="24"/>
  <c r="T70" i="24"/>
  <c r="P70" i="24"/>
  <c r="N70" i="24"/>
  <c r="H70" i="24"/>
  <c r="L70" i="24" s="1"/>
  <c r="D70" i="24"/>
  <c r="B70" i="24"/>
  <c r="Z69" i="24"/>
  <c r="X69" i="24"/>
  <c r="N69" i="24"/>
  <c r="L69" i="24"/>
  <c r="B69" i="24"/>
  <c r="Z68" i="24"/>
  <c r="X68" i="24"/>
  <c r="N68" i="24"/>
  <c r="L68" i="24"/>
  <c r="B68" i="24"/>
  <c r="T67" i="24"/>
  <c r="P67" i="24"/>
  <c r="H67" i="24"/>
  <c r="N67" i="24" s="1"/>
  <c r="D67" i="24"/>
  <c r="L67" i="24" s="1"/>
  <c r="B67" i="24"/>
  <c r="X66" i="24"/>
  <c r="Z66" i="24" s="1"/>
  <c r="N66" i="24"/>
  <c r="L66" i="24"/>
  <c r="J66" i="24"/>
  <c r="B66" i="24"/>
  <c r="T65" i="24"/>
  <c r="P65" i="24"/>
  <c r="X65" i="24" s="1"/>
  <c r="H65" i="24"/>
  <c r="D65" i="24"/>
  <c r="L65" i="24" s="1"/>
  <c r="B65" i="24"/>
  <c r="Z64" i="24"/>
  <c r="X64" i="24"/>
  <c r="N64" i="24"/>
  <c r="L64" i="24"/>
  <c r="B64" i="24"/>
  <c r="T63" i="24"/>
  <c r="Z63" i="24" s="1"/>
  <c r="P63" i="24"/>
  <c r="X63" i="24" s="1"/>
  <c r="N63" i="24"/>
  <c r="L63" i="24"/>
  <c r="H63" i="24"/>
  <c r="D63" i="24"/>
  <c r="B63" i="24"/>
  <c r="Z62" i="24"/>
  <c r="X62" i="24"/>
  <c r="V62" i="24"/>
  <c r="N62" i="24"/>
  <c r="L62" i="24"/>
  <c r="B62" i="24"/>
  <c r="Z61" i="24"/>
  <c r="X61" i="24"/>
  <c r="T61" i="24"/>
  <c r="P61" i="24"/>
  <c r="H61" i="24"/>
  <c r="D61" i="24"/>
  <c r="B61" i="24"/>
  <c r="Z60" i="24"/>
  <c r="X60" i="24"/>
  <c r="N60" i="24"/>
  <c r="L60" i="24"/>
  <c r="B60" i="24"/>
  <c r="Z59" i="24"/>
  <c r="X59" i="24"/>
  <c r="N59" i="24"/>
  <c r="L59" i="24"/>
  <c r="B59" i="24"/>
  <c r="Z58" i="24"/>
  <c r="X58" i="24"/>
  <c r="V58" i="24"/>
  <c r="T58" i="24"/>
  <c r="P58" i="24"/>
  <c r="N58" i="24"/>
  <c r="H58" i="24"/>
  <c r="L58" i="24" s="1"/>
  <c r="D58" i="24"/>
  <c r="B58" i="24"/>
  <c r="X57" i="24"/>
  <c r="Z57" i="24" s="1"/>
  <c r="L57" i="24"/>
  <c r="N57" i="24" s="1"/>
  <c r="B57" i="24"/>
  <c r="T56" i="24"/>
  <c r="X56" i="24" s="1"/>
  <c r="Z56" i="24" s="1"/>
  <c r="P56" i="24"/>
  <c r="H56" i="24"/>
  <c r="D56" i="24"/>
  <c r="L56" i="24" s="1"/>
  <c r="B56" i="24"/>
  <c r="X55" i="24"/>
  <c r="Z55" i="24" s="1"/>
  <c r="L55" i="24"/>
  <c r="N55" i="24" s="1"/>
  <c r="B55" i="24"/>
  <c r="T54" i="24"/>
  <c r="P54" i="24"/>
  <c r="X54" i="24" s="1"/>
  <c r="H54" i="24"/>
  <c r="D54" i="24"/>
  <c r="L54" i="24" s="1"/>
  <c r="N54" i="24" s="1"/>
  <c r="B54" i="24"/>
  <c r="X53" i="24"/>
  <c r="Z53" i="24" s="1"/>
  <c r="L53" i="24"/>
  <c r="N53" i="24" s="1"/>
  <c r="B53" i="24"/>
  <c r="T52" i="24"/>
  <c r="P52" i="24"/>
  <c r="X52" i="24" s="1"/>
  <c r="Z52" i="24" s="1"/>
  <c r="N52" i="24"/>
  <c r="L52" i="24"/>
  <c r="J52" i="24"/>
  <c r="H52" i="24"/>
  <c r="D52" i="24"/>
  <c r="B52" i="24"/>
  <c r="Z51" i="24"/>
  <c r="X51" i="24"/>
  <c r="N51" i="24"/>
  <c r="L51" i="24"/>
  <c r="B51" i="24"/>
  <c r="Z50" i="24"/>
  <c r="X50" i="24"/>
  <c r="V50" i="24"/>
  <c r="N50" i="24"/>
  <c r="L50" i="24"/>
  <c r="B50" i="24"/>
  <c r="X49" i="24"/>
  <c r="Z49" i="24" s="1"/>
  <c r="L49" i="24"/>
  <c r="N49" i="24" s="1"/>
  <c r="B49" i="24"/>
  <c r="Z48" i="24"/>
  <c r="X48" i="24"/>
  <c r="N48" i="24"/>
  <c r="L48" i="24"/>
  <c r="B48" i="24"/>
  <c r="Z47" i="24"/>
  <c r="X47" i="24"/>
  <c r="N47" i="24"/>
  <c r="L47" i="24"/>
  <c r="B47" i="24"/>
  <c r="Z46" i="24"/>
  <c r="X46" i="24"/>
  <c r="N46" i="24"/>
  <c r="L46" i="24"/>
  <c r="J46" i="24"/>
  <c r="B46" i="24"/>
  <c r="X45" i="24"/>
  <c r="Z45" i="24" s="1"/>
  <c r="L45" i="24"/>
  <c r="N45" i="24" s="1"/>
  <c r="B45" i="24"/>
  <c r="Z44" i="24"/>
  <c r="X44" i="24"/>
  <c r="N44" i="24"/>
  <c r="L44" i="24"/>
  <c r="B44" i="24"/>
  <c r="Z43" i="24"/>
  <c r="X43" i="24"/>
  <c r="N43" i="24"/>
  <c r="L43" i="24"/>
  <c r="B43" i="24"/>
  <c r="Z42" i="24"/>
  <c r="X42" i="24"/>
  <c r="V42" i="24"/>
  <c r="N42" i="24"/>
  <c r="L42" i="24"/>
  <c r="B42" i="24"/>
  <c r="X41" i="24"/>
  <c r="Z41" i="24" s="1"/>
  <c r="T41" i="24"/>
  <c r="P41" i="24"/>
  <c r="H41" i="24"/>
  <c r="D41" i="24"/>
  <c r="B41" i="24"/>
  <c r="Z40" i="24"/>
  <c r="X40" i="24"/>
  <c r="N40" i="24"/>
  <c r="L40" i="24"/>
  <c r="B40" i="24"/>
  <c r="Z39" i="24"/>
  <c r="X39" i="24"/>
  <c r="N39" i="24"/>
  <c r="L39" i="24"/>
  <c r="B39" i="24"/>
  <c r="Z38" i="24"/>
  <c r="X38" i="24"/>
  <c r="V38" i="24"/>
  <c r="N38" i="24"/>
  <c r="L38" i="24"/>
  <c r="B38" i="24"/>
  <c r="Z37" i="24"/>
  <c r="X37" i="24"/>
  <c r="N37" i="24"/>
  <c r="L37" i="24"/>
  <c r="B37" i="24"/>
  <c r="Z36" i="24"/>
  <c r="X36" i="24"/>
  <c r="N36" i="24"/>
  <c r="L36" i="24"/>
  <c r="B36" i="24"/>
  <c r="Z35" i="24"/>
  <c r="X35" i="24"/>
  <c r="N35" i="24"/>
  <c r="L35" i="24"/>
  <c r="B35" i="24"/>
  <c r="Z34" i="24"/>
  <c r="X34" i="24"/>
  <c r="N34" i="24"/>
  <c r="L34" i="24"/>
  <c r="J34" i="24"/>
  <c r="B34" i="24"/>
  <c r="X33" i="24"/>
  <c r="Z33" i="24" s="1"/>
  <c r="L33" i="24"/>
  <c r="N33" i="24" s="1"/>
  <c r="B33" i="24"/>
  <c r="T32" i="24"/>
  <c r="X32" i="24" s="1"/>
  <c r="Z32" i="24" s="1"/>
  <c r="P32" i="24"/>
  <c r="H32" i="24"/>
  <c r="D32" i="24"/>
  <c r="L32" i="24" s="1"/>
  <c r="B32" i="24"/>
  <c r="T31" i="24"/>
  <c r="Z31" i="24" s="1"/>
  <c r="P31" i="24"/>
  <c r="X31" i="24" s="1"/>
  <c r="L31" i="24"/>
  <c r="N31" i="24" s="1"/>
  <c r="H31" i="24"/>
  <c r="D31" i="24"/>
  <c r="T29" i="24"/>
  <c r="Z27" i="24"/>
  <c r="X27" i="24"/>
  <c r="N27" i="24"/>
  <c r="L27" i="24"/>
  <c r="B27" i="24"/>
  <c r="Z26" i="24"/>
  <c r="X26" i="24"/>
  <c r="N26" i="24"/>
  <c r="L26" i="24"/>
  <c r="J26" i="24"/>
  <c r="B26" i="24"/>
  <c r="Z25" i="24"/>
  <c r="X25" i="24"/>
  <c r="N25" i="24"/>
  <c r="L25" i="24"/>
  <c r="B25" i="24"/>
  <c r="Z24" i="24"/>
  <c r="X24" i="24"/>
  <c r="N24" i="24"/>
  <c r="L24" i="24"/>
  <c r="B24" i="24"/>
  <c r="Z23" i="24"/>
  <c r="X23" i="24"/>
  <c r="N23" i="24"/>
  <c r="L23" i="24"/>
  <c r="B23" i="24"/>
  <c r="Z22" i="24"/>
  <c r="X22" i="24"/>
  <c r="V22" i="24"/>
  <c r="N22" i="24"/>
  <c r="L22" i="24"/>
  <c r="J22" i="24"/>
  <c r="B22" i="24"/>
  <c r="Z21" i="24"/>
  <c r="X21" i="24"/>
  <c r="N21" i="24"/>
  <c r="L21" i="24"/>
  <c r="B21" i="24"/>
  <c r="Z20" i="24"/>
  <c r="X20" i="24"/>
  <c r="N20" i="24"/>
  <c r="L20" i="24"/>
  <c r="J20" i="24"/>
  <c r="B20" i="24"/>
  <c r="Z19" i="24"/>
  <c r="X19" i="24"/>
  <c r="N19" i="24"/>
  <c r="L19" i="24"/>
  <c r="B19" i="24"/>
  <c r="Z18" i="24"/>
  <c r="X18" i="24"/>
  <c r="V18" i="24"/>
  <c r="N18" i="24"/>
  <c r="L18" i="24"/>
  <c r="J18" i="24"/>
  <c r="B18" i="24"/>
  <c r="T17" i="24"/>
  <c r="Z17" i="24" s="1"/>
  <c r="P17" i="24"/>
  <c r="X17" i="24" s="1"/>
  <c r="H17" i="24"/>
  <c r="D17" i="24"/>
  <c r="L17" i="24" s="1"/>
  <c r="Z15" i="24"/>
  <c r="X15" i="24"/>
  <c r="P15" i="24"/>
  <c r="N15" i="24"/>
  <c r="D15" i="24"/>
  <c r="L15" i="24" s="1"/>
  <c r="B15" i="24"/>
  <c r="P14" i="24"/>
  <c r="L14" i="24"/>
  <c r="N14" i="24" s="1"/>
  <c r="D14" i="24"/>
  <c r="B14" i="24"/>
  <c r="X13" i="24"/>
  <c r="Z13" i="24" s="1"/>
  <c r="P13" i="24"/>
  <c r="N13" i="24"/>
  <c r="D13" i="24"/>
  <c r="L13" i="24" s="1"/>
  <c r="B13" i="24"/>
  <c r="T12" i="24"/>
  <c r="V77" i="24" s="1"/>
  <c r="H12" i="24"/>
  <c r="J69" i="24" s="1"/>
  <c r="D4" i="24"/>
  <c r="B39" i="23"/>
  <c r="B38" i="23"/>
  <c r="T34" i="23"/>
  <c r="Z34" i="23" s="1"/>
  <c r="P34" i="23"/>
  <c r="H34" i="23"/>
  <c r="N34" i="23" s="1"/>
  <c r="D34" i="23"/>
  <c r="T33" i="23"/>
  <c r="Z33" i="23" s="1"/>
  <c r="P33" i="23"/>
  <c r="H33" i="23"/>
  <c r="D33" i="23"/>
  <c r="T29" i="23"/>
  <c r="Z29" i="23" s="1"/>
  <c r="P29" i="23"/>
  <c r="H29" i="23"/>
  <c r="D29" i="23"/>
  <c r="T25" i="23"/>
  <c r="Z25" i="23" s="1"/>
  <c r="P25" i="23"/>
  <c r="H25" i="23"/>
  <c r="D25" i="23"/>
  <c r="B25" i="23"/>
  <c r="T24" i="23"/>
  <c r="P24" i="23"/>
  <c r="H24" i="23"/>
  <c r="N24" i="23" s="1"/>
  <c r="D24" i="23"/>
  <c r="T22" i="23"/>
  <c r="Z22" i="23" s="1"/>
  <c r="P22" i="23"/>
  <c r="H22" i="23"/>
  <c r="N22" i="23" s="1"/>
  <c r="D22" i="23"/>
  <c r="B22" i="23"/>
  <c r="T21" i="23"/>
  <c r="P21" i="23"/>
  <c r="H21" i="23"/>
  <c r="N21" i="23" s="1"/>
  <c r="D21" i="23"/>
  <c r="B21" i="23"/>
  <c r="T20" i="23"/>
  <c r="Z20" i="23" s="1"/>
  <c r="P20" i="23"/>
  <c r="H20" i="23"/>
  <c r="N20" i="23" s="1"/>
  <c r="D20" i="23"/>
  <c r="T16" i="23"/>
  <c r="Z16" i="23" s="1"/>
  <c r="P16" i="23"/>
  <c r="H16" i="23"/>
  <c r="N16" i="23" s="1"/>
  <c r="D16" i="23"/>
  <c r="B16" i="23"/>
  <c r="T15" i="23"/>
  <c r="Z15" i="23" s="1"/>
  <c r="P15" i="23"/>
  <c r="H15" i="23"/>
  <c r="D15" i="23"/>
  <c r="T13" i="23"/>
  <c r="Z13" i="23" s="1"/>
  <c r="P13" i="23"/>
  <c r="H13" i="23"/>
  <c r="N13" i="23" s="1"/>
  <c r="D13" i="23"/>
  <c r="B13" i="23"/>
  <c r="T12" i="23"/>
  <c r="V36" i="23" s="1"/>
  <c r="P12" i="23"/>
  <c r="H12" i="23"/>
  <c r="J20" i="23" s="1"/>
  <c r="D12" i="23"/>
  <c r="F36" i="23" s="1"/>
  <c r="D5" i="23"/>
  <c r="D4" i="23"/>
  <c r="B39" i="22"/>
  <c r="B38" i="22"/>
  <c r="T34" i="22"/>
  <c r="P34" i="22"/>
  <c r="H34" i="22"/>
  <c r="N34" i="22" s="1"/>
  <c r="D34" i="22"/>
  <c r="T33" i="22"/>
  <c r="Z33" i="22" s="1"/>
  <c r="P33" i="22"/>
  <c r="H33" i="22"/>
  <c r="N33" i="22" s="1"/>
  <c r="D33" i="22"/>
  <c r="T29" i="22"/>
  <c r="Z29" i="22" s="1"/>
  <c r="P29" i="22"/>
  <c r="H29" i="22"/>
  <c r="N29" i="22" s="1"/>
  <c r="D29" i="22"/>
  <c r="T25" i="22"/>
  <c r="Z25" i="22" s="1"/>
  <c r="P25" i="22"/>
  <c r="H25" i="22"/>
  <c r="N25" i="22" s="1"/>
  <c r="D25" i="22"/>
  <c r="B25" i="22"/>
  <c r="T24" i="22"/>
  <c r="P24" i="22"/>
  <c r="H24" i="22"/>
  <c r="N24" i="22" s="1"/>
  <c r="D24" i="22"/>
  <c r="T22" i="22"/>
  <c r="Z22" i="22" s="1"/>
  <c r="P22" i="22"/>
  <c r="H22" i="22"/>
  <c r="N22" i="22" s="1"/>
  <c r="D22" i="22"/>
  <c r="B22" i="22"/>
  <c r="T21" i="22"/>
  <c r="Z21" i="22" s="1"/>
  <c r="P21" i="22"/>
  <c r="H21" i="22"/>
  <c r="D21" i="22"/>
  <c r="B21" i="22"/>
  <c r="T20" i="22"/>
  <c r="Z20" i="22" s="1"/>
  <c r="P20" i="22"/>
  <c r="H20" i="22"/>
  <c r="N20" i="22" s="1"/>
  <c r="D20" i="22"/>
  <c r="T16" i="22"/>
  <c r="Z16" i="22" s="1"/>
  <c r="P16" i="22"/>
  <c r="H16" i="22"/>
  <c r="N16" i="22" s="1"/>
  <c r="D16" i="22"/>
  <c r="B16" i="22"/>
  <c r="T15" i="22"/>
  <c r="Z15" i="22" s="1"/>
  <c r="P15" i="22"/>
  <c r="H15" i="22"/>
  <c r="N15" i="22" s="1"/>
  <c r="D15" i="22"/>
  <c r="T13" i="22"/>
  <c r="Z13" i="22" s="1"/>
  <c r="P13" i="22"/>
  <c r="H13" i="22"/>
  <c r="N13" i="22" s="1"/>
  <c r="D13" i="22"/>
  <c r="B13" i="22"/>
  <c r="T12" i="22"/>
  <c r="V18" i="22" s="1"/>
  <c r="P12" i="22"/>
  <c r="R31" i="22" s="1"/>
  <c r="H12" i="22"/>
  <c r="J36" i="22" s="1"/>
  <c r="D12" i="22"/>
  <c r="F18" i="22" s="1"/>
  <c r="D5" i="22"/>
  <c r="D4" i="22"/>
  <c r="X92" i="21"/>
  <c r="Z92" i="21" s="1"/>
  <c r="L92" i="21"/>
  <c r="N92" i="21" s="1"/>
  <c r="T88" i="21"/>
  <c r="Z88" i="21" s="1"/>
  <c r="P88" i="21"/>
  <c r="X88" i="21" s="1"/>
  <c r="H88" i="21"/>
  <c r="N88" i="21" s="1"/>
  <c r="D88" i="21"/>
  <c r="Z86" i="21"/>
  <c r="X86" i="21"/>
  <c r="N86" i="21"/>
  <c r="L86" i="21"/>
  <c r="B86" i="21"/>
  <c r="Z85" i="21"/>
  <c r="T85" i="21"/>
  <c r="P85" i="21"/>
  <c r="X85" i="21" s="1"/>
  <c r="N85" i="21"/>
  <c r="L85" i="21"/>
  <c r="J85" i="21"/>
  <c r="H85" i="21"/>
  <c r="D85" i="21"/>
  <c r="B85" i="21"/>
  <c r="X84" i="21"/>
  <c r="Z84" i="21" s="1"/>
  <c r="N84" i="21"/>
  <c r="L84" i="21"/>
  <c r="B84" i="21"/>
  <c r="Z83" i="21"/>
  <c r="X83" i="21"/>
  <c r="V83" i="21"/>
  <c r="T83" i="21"/>
  <c r="P83" i="21"/>
  <c r="N83" i="21"/>
  <c r="H83" i="21"/>
  <c r="L83" i="21" s="1"/>
  <c r="D83" i="21"/>
  <c r="B83" i="21"/>
  <c r="X82" i="21"/>
  <c r="Z82" i="21" s="1"/>
  <c r="L82" i="21"/>
  <c r="N82" i="21" s="1"/>
  <c r="B82" i="21"/>
  <c r="Z81" i="21"/>
  <c r="X81" i="21"/>
  <c r="N81" i="21"/>
  <c r="L81" i="21"/>
  <c r="B81" i="21"/>
  <c r="T80" i="21"/>
  <c r="P80" i="21"/>
  <c r="X80" i="21" s="1"/>
  <c r="H80" i="21"/>
  <c r="D80" i="21"/>
  <c r="L80" i="21" s="1"/>
  <c r="B80" i="21"/>
  <c r="Z79" i="21"/>
  <c r="X79" i="21"/>
  <c r="N79" i="21"/>
  <c r="L79" i="21"/>
  <c r="J79" i="21"/>
  <c r="B79" i="21"/>
  <c r="X78" i="21"/>
  <c r="Z78" i="21" s="1"/>
  <c r="L78" i="21"/>
  <c r="N78" i="21" s="1"/>
  <c r="B78" i="21"/>
  <c r="Z77" i="21"/>
  <c r="X77" i="21"/>
  <c r="N77" i="21"/>
  <c r="L77" i="21"/>
  <c r="B77" i="21"/>
  <c r="X76" i="21"/>
  <c r="Z76" i="21" s="1"/>
  <c r="N76" i="21"/>
  <c r="L76" i="21"/>
  <c r="B76" i="21"/>
  <c r="Z75" i="21"/>
  <c r="X75" i="21"/>
  <c r="V75" i="21"/>
  <c r="N75" i="21"/>
  <c r="L75" i="21"/>
  <c r="B75" i="21"/>
  <c r="X74" i="21"/>
  <c r="T74" i="21"/>
  <c r="P74" i="21"/>
  <c r="H74" i="21"/>
  <c r="D74" i="21"/>
  <c r="B74" i="21"/>
  <c r="Z73" i="21"/>
  <c r="X73" i="21"/>
  <c r="N73" i="21"/>
  <c r="L73" i="21"/>
  <c r="B73" i="21"/>
  <c r="Z72" i="21"/>
  <c r="X72" i="21"/>
  <c r="N72" i="21"/>
  <c r="L72" i="21"/>
  <c r="B72" i="21"/>
  <c r="Z71" i="21"/>
  <c r="X71" i="21"/>
  <c r="V71" i="21"/>
  <c r="N71" i="21"/>
  <c r="L71" i="21"/>
  <c r="B71" i="21"/>
  <c r="X70" i="21"/>
  <c r="T70" i="21"/>
  <c r="Z70" i="21" s="1"/>
  <c r="P70" i="21"/>
  <c r="H70" i="21"/>
  <c r="D70" i="21"/>
  <c r="L70" i="21" s="1"/>
  <c r="B70" i="21"/>
  <c r="Z69" i="21"/>
  <c r="X69" i="21"/>
  <c r="N69" i="21"/>
  <c r="L69" i="21"/>
  <c r="B69" i="21"/>
  <c r="T68" i="21"/>
  <c r="P68" i="21"/>
  <c r="X68" i="21" s="1"/>
  <c r="H68" i="21"/>
  <c r="D68" i="21"/>
  <c r="L68" i="21" s="1"/>
  <c r="B68" i="21"/>
  <c r="Z67" i="21"/>
  <c r="X67" i="21"/>
  <c r="N67" i="21"/>
  <c r="L67" i="21"/>
  <c r="J67" i="21"/>
  <c r="B67" i="21"/>
  <c r="X66" i="21"/>
  <c r="Z66" i="21" s="1"/>
  <c r="L66" i="21"/>
  <c r="N66" i="21" s="1"/>
  <c r="B66" i="21"/>
  <c r="Z65" i="21"/>
  <c r="X65" i="21"/>
  <c r="N65" i="21"/>
  <c r="L65" i="21"/>
  <c r="B65" i="21"/>
  <c r="T64" i="21"/>
  <c r="P64" i="21"/>
  <c r="H64" i="21"/>
  <c r="D64" i="21"/>
  <c r="L64" i="21" s="1"/>
  <c r="B64" i="21"/>
  <c r="Z63" i="21"/>
  <c r="X63" i="21"/>
  <c r="N63" i="21"/>
  <c r="L63" i="21"/>
  <c r="J63" i="21"/>
  <c r="B63" i="21"/>
  <c r="T62" i="21"/>
  <c r="Z62" i="21" s="1"/>
  <c r="P62" i="21"/>
  <c r="X62" i="21" s="1"/>
  <c r="H62" i="21"/>
  <c r="D62" i="21"/>
  <c r="B62" i="21"/>
  <c r="Z61" i="21"/>
  <c r="X61" i="21"/>
  <c r="N61" i="21"/>
  <c r="L61" i="21"/>
  <c r="B61" i="21"/>
  <c r="T60" i="21"/>
  <c r="P60" i="21"/>
  <c r="L60" i="21"/>
  <c r="H60" i="21"/>
  <c r="N60" i="21" s="1"/>
  <c r="D60" i="21"/>
  <c r="B60" i="21"/>
  <c r="Z59" i="21"/>
  <c r="X59" i="21"/>
  <c r="V59" i="21"/>
  <c r="N59" i="21"/>
  <c r="L59" i="21"/>
  <c r="B59" i="21"/>
  <c r="X58" i="21"/>
  <c r="T58" i="21"/>
  <c r="P58" i="21"/>
  <c r="H58" i="21"/>
  <c r="D58" i="21"/>
  <c r="L58" i="21" s="1"/>
  <c r="B58" i="21"/>
  <c r="Z57" i="21"/>
  <c r="X57" i="21"/>
  <c r="N57" i="21"/>
  <c r="L57" i="21"/>
  <c r="B57" i="21"/>
  <c r="T56" i="21"/>
  <c r="P56" i="21"/>
  <c r="X56" i="21" s="1"/>
  <c r="H56" i="21"/>
  <c r="N56" i="21" s="1"/>
  <c r="D56" i="21"/>
  <c r="L56" i="21" s="1"/>
  <c r="B56" i="21"/>
  <c r="Z55" i="21"/>
  <c r="X55" i="21"/>
  <c r="N55" i="21"/>
  <c r="L55" i="21"/>
  <c r="J55" i="21"/>
  <c r="B55" i="21"/>
  <c r="Z54" i="21"/>
  <c r="X54" i="21"/>
  <c r="N54" i="21"/>
  <c r="L54" i="21"/>
  <c r="B54" i="21"/>
  <c r="T53" i="21"/>
  <c r="X53" i="21" s="1"/>
  <c r="Z53" i="21" s="1"/>
  <c r="P53" i="21"/>
  <c r="N53" i="21"/>
  <c r="L53" i="21"/>
  <c r="J53" i="21"/>
  <c r="H53" i="21"/>
  <c r="D53" i="21"/>
  <c r="B53" i="21"/>
  <c r="X52" i="21"/>
  <c r="Z52" i="21" s="1"/>
  <c r="L52" i="21"/>
  <c r="N52" i="21" s="1"/>
  <c r="B52" i="21"/>
  <c r="Z51" i="21"/>
  <c r="X51" i="21"/>
  <c r="T51" i="21"/>
  <c r="P51" i="21"/>
  <c r="N51" i="21"/>
  <c r="H51" i="21"/>
  <c r="D51" i="21"/>
  <c r="L51" i="21" s="1"/>
  <c r="B51" i="21"/>
  <c r="Z50" i="21"/>
  <c r="X50" i="21"/>
  <c r="N50" i="21"/>
  <c r="L50" i="21"/>
  <c r="B50" i="21"/>
  <c r="Z49" i="21"/>
  <c r="T49" i="21"/>
  <c r="P49" i="21"/>
  <c r="X49" i="21" s="1"/>
  <c r="N49" i="21"/>
  <c r="J49" i="21"/>
  <c r="H49" i="21"/>
  <c r="D49" i="21"/>
  <c r="L49" i="21" s="1"/>
  <c r="B49" i="21"/>
  <c r="Z48" i="21"/>
  <c r="X48" i="21"/>
  <c r="N48" i="21"/>
  <c r="L48" i="21"/>
  <c r="B48" i="21"/>
  <c r="Z47" i="21"/>
  <c r="V47" i="21"/>
  <c r="T47" i="21"/>
  <c r="P47" i="21"/>
  <c r="X47" i="21" s="1"/>
  <c r="N47" i="21"/>
  <c r="H47" i="21"/>
  <c r="L47" i="21" s="1"/>
  <c r="D47" i="21"/>
  <c r="B47" i="21"/>
  <c r="Z46" i="21"/>
  <c r="X46" i="21"/>
  <c r="N46" i="21"/>
  <c r="L46" i="21"/>
  <c r="B46" i="21"/>
  <c r="Z45" i="21"/>
  <c r="X45" i="21"/>
  <c r="N45" i="21"/>
  <c r="L45" i="21"/>
  <c r="B45" i="21"/>
  <c r="X44" i="21"/>
  <c r="Z44" i="21" s="1"/>
  <c r="L44" i="21"/>
  <c r="N44" i="21" s="1"/>
  <c r="B44" i="21"/>
  <c r="Z43" i="21"/>
  <c r="X43" i="21"/>
  <c r="V43" i="21"/>
  <c r="N43" i="21"/>
  <c r="L43" i="21"/>
  <c r="J43" i="21"/>
  <c r="B43" i="21"/>
  <c r="Z42" i="21"/>
  <c r="X42" i="21"/>
  <c r="N42" i="21"/>
  <c r="L42" i="21"/>
  <c r="B42" i="21"/>
  <c r="Z41" i="21"/>
  <c r="X41" i="21"/>
  <c r="N41" i="21"/>
  <c r="L41" i="21"/>
  <c r="B41" i="21"/>
  <c r="X40" i="21"/>
  <c r="Z40" i="21" s="1"/>
  <c r="L40" i="21"/>
  <c r="N40" i="21" s="1"/>
  <c r="F40" i="21"/>
  <c r="B40" i="21"/>
  <c r="Z39" i="21"/>
  <c r="X39" i="21"/>
  <c r="N39" i="21"/>
  <c r="L39" i="21"/>
  <c r="J39" i="21"/>
  <c r="B39" i="21"/>
  <c r="X38" i="21"/>
  <c r="Z38" i="21" s="1"/>
  <c r="L38" i="21"/>
  <c r="N38" i="21" s="1"/>
  <c r="B38" i="21"/>
  <c r="Z37" i="21"/>
  <c r="X37" i="21"/>
  <c r="N37" i="21"/>
  <c r="L37" i="21"/>
  <c r="J37" i="21"/>
  <c r="B37" i="21"/>
  <c r="T36" i="21"/>
  <c r="P36" i="21"/>
  <c r="X36" i="21" s="1"/>
  <c r="H36" i="21"/>
  <c r="N36" i="21" s="1"/>
  <c r="D36" i="21"/>
  <c r="L36" i="21" s="1"/>
  <c r="B36" i="21"/>
  <c r="Z35" i="21"/>
  <c r="X35" i="21"/>
  <c r="V35" i="21"/>
  <c r="N35" i="21"/>
  <c r="L35" i="21"/>
  <c r="J35" i="21"/>
  <c r="B35" i="21"/>
  <c r="X34" i="21"/>
  <c r="Z34" i="21" s="1"/>
  <c r="L34" i="21"/>
  <c r="N34" i="21" s="1"/>
  <c r="B34" i="21"/>
  <c r="Z33" i="21"/>
  <c r="X33" i="21"/>
  <c r="N33" i="21"/>
  <c r="L33" i="21"/>
  <c r="J33" i="21"/>
  <c r="B33" i="21"/>
  <c r="Z32" i="21"/>
  <c r="X32" i="21"/>
  <c r="N32" i="21"/>
  <c r="L32" i="21"/>
  <c r="B32" i="21"/>
  <c r="Z31" i="21"/>
  <c r="X31" i="21"/>
  <c r="V31" i="21"/>
  <c r="N31" i="21"/>
  <c r="L31" i="21"/>
  <c r="J31" i="21"/>
  <c r="B31" i="21"/>
  <c r="X30" i="21"/>
  <c r="Z30" i="21" s="1"/>
  <c r="L30" i="21"/>
  <c r="N30" i="21" s="1"/>
  <c r="B30" i="21"/>
  <c r="Z29" i="21"/>
  <c r="X29" i="21"/>
  <c r="N29" i="21"/>
  <c r="L29" i="21"/>
  <c r="B29" i="21"/>
  <c r="X28" i="21"/>
  <c r="Z28" i="21" s="1"/>
  <c r="L28" i="21"/>
  <c r="N28" i="21" s="1"/>
  <c r="B28" i="21"/>
  <c r="Z27" i="21"/>
  <c r="X27" i="21"/>
  <c r="V27" i="21"/>
  <c r="N27" i="21"/>
  <c r="L27" i="21"/>
  <c r="J27" i="21"/>
  <c r="B27" i="21"/>
  <c r="T26" i="21"/>
  <c r="P26" i="21"/>
  <c r="X26" i="21" s="1"/>
  <c r="H26" i="21"/>
  <c r="D26" i="21"/>
  <c r="B26" i="21"/>
  <c r="Z25" i="21"/>
  <c r="T25" i="21"/>
  <c r="P25" i="21"/>
  <c r="X25" i="21" s="1"/>
  <c r="J25" i="21"/>
  <c r="H25" i="21"/>
  <c r="D25" i="21"/>
  <c r="L25" i="21" s="1"/>
  <c r="N25" i="21" s="1"/>
  <c r="Z21" i="21"/>
  <c r="X21" i="21"/>
  <c r="N21" i="21"/>
  <c r="L21" i="21"/>
  <c r="J21" i="21"/>
  <c r="B21" i="21"/>
  <c r="Z20" i="21"/>
  <c r="X20" i="21"/>
  <c r="V20" i="21"/>
  <c r="N20" i="21"/>
  <c r="L20" i="21"/>
  <c r="B20" i="21"/>
  <c r="X19" i="21"/>
  <c r="Z19" i="21" s="1"/>
  <c r="V19" i="21"/>
  <c r="N19" i="21"/>
  <c r="L19" i="21"/>
  <c r="J19" i="21"/>
  <c r="B19" i="21"/>
  <c r="T18" i="21"/>
  <c r="P18" i="21"/>
  <c r="X18" i="21" s="1"/>
  <c r="Z18" i="21" s="1"/>
  <c r="H18" i="21"/>
  <c r="D18" i="21"/>
  <c r="Z16" i="21"/>
  <c r="X16" i="21"/>
  <c r="P16" i="21"/>
  <c r="N16" i="21"/>
  <c r="D16" i="21"/>
  <c r="D12" i="21" s="1"/>
  <c r="B16" i="21"/>
  <c r="P15" i="21"/>
  <c r="D15" i="21"/>
  <c r="L15" i="21" s="1"/>
  <c r="N15" i="21" s="1"/>
  <c r="B15" i="21"/>
  <c r="Z14" i="21"/>
  <c r="X14" i="21"/>
  <c r="P14" i="21"/>
  <c r="N14" i="21"/>
  <c r="D14" i="21"/>
  <c r="L14" i="21" s="1"/>
  <c r="B14" i="21"/>
  <c r="Z13" i="21"/>
  <c r="X13" i="21"/>
  <c r="P13" i="21"/>
  <c r="L13" i="21"/>
  <c r="N13" i="21" s="1"/>
  <c r="D13" i="21"/>
  <c r="B13" i="21"/>
  <c r="T12" i="21"/>
  <c r="L12" i="21"/>
  <c r="N12" i="21" s="1"/>
  <c r="H12" i="21"/>
  <c r="J82" i="21" s="1"/>
  <c r="D4" i="21"/>
  <c r="B39" i="20"/>
  <c r="B38" i="20"/>
  <c r="T34" i="20"/>
  <c r="Z34" i="20" s="1"/>
  <c r="P34" i="20"/>
  <c r="H34" i="20"/>
  <c r="N34" i="20" s="1"/>
  <c r="D34" i="20"/>
  <c r="T33" i="20"/>
  <c r="Z33" i="20" s="1"/>
  <c r="P33" i="20"/>
  <c r="H33" i="20"/>
  <c r="N33" i="20" s="1"/>
  <c r="D33" i="20"/>
  <c r="T29" i="20"/>
  <c r="Z29" i="20" s="1"/>
  <c r="P29" i="20"/>
  <c r="H29" i="20"/>
  <c r="N29" i="20" s="1"/>
  <c r="D29" i="20"/>
  <c r="T25" i="20"/>
  <c r="Z25" i="20" s="1"/>
  <c r="P25" i="20"/>
  <c r="H25" i="20"/>
  <c r="N25" i="20" s="1"/>
  <c r="D25" i="20"/>
  <c r="B25" i="20"/>
  <c r="T24" i="20"/>
  <c r="Z24" i="20" s="1"/>
  <c r="P24" i="20"/>
  <c r="H24" i="20"/>
  <c r="N24" i="20" s="1"/>
  <c r="D24" i="20"/>
  <c r="T22" i="20"/>
  <c r="Z22" i="20" s="1"/>
  <c r="P22" i="20"/>
  <c r="H22" i="20"/>
  <c r="N22" i="20" s="1"/>
  <c r="D22" i="20"/>
  <c r="B22" i="20"/>
  <c r="T21" i="20"/>
  <c r="P21" i="20"/>
  <c r="H21" i="20"/>
  <c r="N21" i="20" s="1"/>
  <c r="D21" i="20"/>
  <c r="B21" i="20"/>
  <c r="T20" i="20"/>
  <c r="Z20" i="20" s="1"/>
  <c r="P20" i="20"/>
  <c r="H20" i="20"/>
  <c r="D20" i="20"/>
  <c r="T16" i="20"/>
  <c r="Z16" i="20" s="1"/>
  <c r="P16" i="20"/>
  <c r="H16" i="20"/>
  <c r="N16" i="20" s="1"/>
  <c r="D16" i="20"/>
  <c r="B16" i="20"/>
  <c r="T15" i="20"/>
  <c r="Z15" i="20" s="1"/>
  <c r="P15" i="20"/>
  <c r="H15" i="20"/>
  <c r="N15" i="20" s="1"/>
  <c r="D15" i="20"/>
  <c r="T13" i="20"/>
  <c r="Z13" i="20" s="1"/>
  <c r="P13" i="20"/>
  <c r="H13" i="20"/>
  <c r="D13" i="20"/>
  <c r="B13" i="20"/>
  <c r="T12" i="20"/>
  <c r="V22" i="20" s="1"/>
  <c r="P12" i="20"/>
  <c r="R18" i="20" s="1"/>
  <c r="H12" i="20"/>
  <c r="J20" i="20" s="1"/>
  <c r="D12" i="20"/>
  <c r="F22" i="20" s="1"/>
  <c r="D5" i="20"/>
  <c r="D4" i="20"/>
  <c r="B39" i="19"/>
  <c r="B38" i="19"/>
  <c r="T34" i="19"/>
  <c r="Z34" i="19" s="1"/>
  <c r="P34" i="19"/>
  <c r="H34" i="19"/>
  <c r="N34" i="19" s="1"/>
  <c r="D34" i="19"/>
  <c r="T33" i="19"/>
  <c r="Z33" i="19" s="1"/>
  <c r="P33" i="19"/>
  <c r="H33" i="19"/>
  <c r="N33" i="19" s="1"/>
  <c r="D33" i="19"/>
  <c r="T29" i="19"/>
  <c r="Z29" i="19" s="1"/>
  <c r="P29" i="19"/>
  <c r="H29" i="19"/>
  <c r="N29" i="19" s="1"/>
  <c r="D29" i="19"/>
  <c r="T25" i="19"/>
  <c r="Z25" i="19" s="1"/>
  <c r="P25" i="19"/>
  <c r="H25" i="19"/>
  <c r="N25" i="19" s="1"/>
  <c r="D25" i="19"/>
  <c r="B25" i="19"/>
  <c r="T24" i="19"/>
  <c r="Z24" i="19" s="1"/>
  <c r="P24" i="19"/>
  <c r="H24" i="19"/>
  <c r="N24" i="19" s="1"/>
  <c r="D24" i="19"/>
  <c r="T22" i="19"/>
  <c r="Z22" i="19" s="1"/>
  <c r="P22" i="19"/>
  <c r="H22" i="19"/>
  <c r="N22" i="19" s="1"/>
  <c r="D22" i="19"/>
  <c r="B22" i="19"/>
  <c r="T21" i="19"/>
  <c r="Z21" i="19" s="1"/>
  <c r="P21" i="19"/>
  <c r="H21" i="19"/>
  <c r="N21" i="19" s="1"/>
  <c r="D21" i="19"/>
  <c r="B21" i="19"/>
  <c r="T20" i="19"/>
  <c r="Z20" i="19" s="1"/>
  <c r="P20" i="19"/>
  <c r="H20" i="19"/>
  <c r="N20" i="19" s="1"/>
  <c r="D20" i="19"/>
  <c r="T16" i="19"/>
  <c r="P16" i="19"/>
  <c r="H16" i="19"/>
  <c r="N16" i="19" s="1"/>
  <c r="D16" i="19"/>
  <c r="B16" i="19"/>
  <c r="T15" i="19"/>
  <c r="Z15" i="19" s="1"/>
  <c r="P15" i="19"/>
  <c r="H15" i="19"/>
  <c r="N15" i="19" s="1"/>
  <c r="D15" i="19"/>
  <c r="T13" i="19"/>
  <c r="Z13" i="19" s="1"/>
  <c r="P13" i="19"/>
  <c r="H13" i="19"/>
  <c r="N13" i="19" s="1"/>
  <c r="D13" i="19"/>
  <c r="B13" i="19"/>
  <c r="T12" i="19"/>
  <c r="V36" i="19" s="1"/>
  <c r="P12" i="19"/>
  <c r="R21" i="19" s="1"/>
  <c r="H12" i="19"/>
  <c r="J20" i="19" s="1"/>
  <c r="D12" i="19"/>
  <c r="F36" i="19" s="1"/>
  <c r="D5" i="19"/>
  <c r="D4" i="19"/>
  <c r="Z160" i="18"/>
  <c r="X160" i="18"/>
  <c r="L160" i="18"/>
  <c r="N160" i="18" s="1"/>
  <c r="Z156" i="18"/>
  <c r="X156" i="18"/>
  <c r="P156" i="18"/>
  <c r="N156" i="18"/>
  <c r="L156" i="18"/>
  <c r="D156" i="18"/>
  <c r="B156" i="18"/>
  <c r="Z155" i="18"/>
  <c r="X155" i="18"/>
  <c r="P155" i="18"/>
  <c r="N155" i="18"/>
  <c r="L155" i="18"/>
  <c r="D155" i="18"/>
  <c r="B155" i="18"/>
  <c r="Z154" i="18"/>
  <c r="P154" i="18"/>
  <c r="X154" i="18" s="1"/>
  <c r="N154" i="18"/>
  <c r="L154" i="18"/>
  <c r="D154" i="18"/>
  <c r="B154" i="18"/>
  <c r="X153" i="18"/>
  <c r="Z153" i="18" s="1"/>
  <c r="P153" i="18"/>
  <c r="D153" i="18"/>
  <c r="L153" i="18" s="1"/>
  <c r="N153" i="18" s="1"/>
  <c r="B153" i="18"/>
  <c r="P152" i="18"/>
  <c r="X152" i="18" s="1"/>
  <c r="Z152" i="18" s="1"/>
  <c r="L152" i="18"/>
  <c r="N152" i="18" s="1"/>
  <c r="D152" i="18"/>
  <c r="B152" i="18"/>
  <c r="Z151" i="18"/>
  <c r="X151" i="18"/>
  <c r="P151" i="18"/>
  <c r="N151" i="18"/>
  <c r="D151" i="18"/>
  <c r="L151" i="18" s="1"/>
  <c r="B151" i="18"/>
  <c r="Z150" i="18"/>
  <c r="P150" i="18"/>
  <c r="N150" i="18"/>
  <c r="L150" i="18"/>
  <c r="D150" i="18"/>
  <c r="B150" i="18"/>
  <c r="T149" i="18"/>
  <c r="H149" i="18"/>
  <c r="X147" i="18"/>
  <c r="Z147" i="18" s="1"/>
  <c r="L147" i="18"/>
  <c r="N147" i="18" s="1"/>
  <c r="B147" i="18"/>
  <c r="Z146" i="18"/>
  <c r="X146" i="18"/>
  <c r="T146" i="18"/>
  <c r="P146" i="18"/>
  <c r="L146" i="18"/>
  <c r="N146" i="18" s="1"/>
  <c r="H146" i="18"/>
  <c r="D146" i="18"/>
  <c r="B146" i="18"/>
  <c r="X145" i="18"/>
  <c r="Z145" i="18" s="1"/>
  <c r="N145" i="18"/>
  <c r="L145" i="18"/>
  <c r="B145" i="18"/>
  <c r="X144" i="18"/>
  <c r="Z144" i="18" s="1"/>
  <c r="N144" i="18"/>
  <c r="L144" i="18"/>
  <c r="B144" i="18"/>
  <c r="X143" i="18"/>
  <c r="Z143" i="18" s="1"/>
  <c r="L143" i="18"/>
  <c r="N143" i="18" s="1"/>
  <c r="B143" i="18"/>
  <c r="Z142" i="18"/>
  <c r="X142" i="18"/>
  <c r="T142" i="18"/>
  <c r="P142" i="18"/>
  <c r="L142" i="18"/>
  <c r="N142" i="18" s="1"/>
  <c r="H142" i="18"/>
  <c r="D142" i="18"/>
  <c r="B142" i="18"/>
  <c r="Z141" i="18"/>
  <c r="X141" i="18"/>
  <c r="N141" i="18"/>
  <c r="L141" i="18"/>
  <c r="B141" i="18"/>
  <c r="Z140" i="18"/>
  <c r="X140" i="18"/>
  <c r="T140" i="18"/>
  <c r="P140" i="18"/>
  <c r="N140" i="18"/>
  <c r="H140" i="18"/>
  <c r="D140" i="18"/>
  <c r="L140" i="18" s="1"/>
  <c r="B140" i="18"/>
  <c r="X139" i="18"/>
  <c r="Z139" i="18" s="1"/>
  <c r="L139" i="18"/>
  <c r="N139" i="18" s="1"/>
  <c r="B139" i="18"/>
  <c r="Z138" i="18"/>
  <c r="X138" i="18"/>
  <c r="N138" i="18"/>
  <c r="L138" i="18"/>
  <c r="B138" i="18"/>
  <c r="T137" i="18"/>
  <c r="P137" i="18"/>
  <c r="L137" i="18"/>
  <c r="H137" i="18"/>
  <c r="N137" i="18" s="1"/>
  <c r="D137" i="18"/>
  <c r="B137" i="18"/>
  <c r="Z136" i="18"/>
  <c r="X136" i="18"/>
  <c r="L136" i="18"/>
  <c r="N136" i="18" s="1"/>
  <c r="B136" i="18"/>
  <c r="X135" i="18"/>
  <c r="Z135" i="18" s="1"/>
  <c r="L135" i="18"/>
  <c r="N135" i="18" s="1"/>
  <c r="B135" i="18"/>
  <c r="Z134" i="18"/>
  <c r="X134" i="18"/>
  <c r="N134" i="18"/>
  <c r="L134" i="18"/>
  <c r="B134" i="18"/>
  <c r="X133" i="18"/>
  <c r="Z133" i="18" s="1"/>
  <c r="N133" i="18"/>
  <c r="L133" i="18"/>
  <c r="B133" i="18"/>
  <c r="Z132" i="18"/>
  <c r="X132" i="18"/>
  <c r="L132" i="18"/>
  <c r="N132" i="18" s="1"/>
  <c r="B132" i="18"/>
  <c r="X131" i="18"/>
  <c r="Z131" i="18" s="1"/>
  <c r="L131" i="18"/>
  <c r="N131" i="18" s="1"/>
  <c r="B131" i="18"/>
  <c r="Z130" i="18"/>
  <c r="X130" i="18"/>
  <c r="N130" i="18"/>
  <c r="L130" i="18"/>
  <c r="B130" i="18"/>
  <c r="T129" i="18"/>
  <c r="P129" i="18"/>
  <c r="X129" i="18" s="1"/>
  <c r="H129" i="18"/>
  <c r="D129" i="18"/>
  <c r="L129" i="18" s="1"/>
  <c r="N129" i="18" s="1"/>
  <c r="B129" i="18"/>
  <c r="Z128" i="18"/>
  <c r="X128" i="18"/>
  <c r="N128" i="18"/>
  <c r="L128" i="18"/>
  <c r="J128" i="18"/>
  <c r="B128" i="18"/>
  <c r="X127" i="18"/>
  <c r="Z127" i="18" s="1"/>
  <c r="L127" i="18"/>
  <c r="N127" i="18" s="1"/>
  <c r="B127" i="18"/>
  <c r="Z126" i="18"/>
  <c r="X126" i="18"/>
  <c r="T126" i="18"/>
  <c r="P126" i="18"/>
  <c r="N126" i="18"/>
  <c r="L126" i="18"/>
  <c r="H126" i="18"/>
  <c r="D126" i="18"/>
  <c r="B126" i="18"/>
  <c r="Z125" i="18"/>
  <c r="X125" i="18"/>
  <c r="N125" i="18"/>
  <c r="L125" i="18"/>
  <c r="B125" i="18"/>
  <c r="Z124" i="18"/>
  <c r="X124" i="18"/>
  <c r="L124" i="18"/>
  <c r="N124" i="18" s="1"/>
  <c r="J124" i="18"/>
  <c r="B124" i="18"/>
  <c r="X123" i="18"/>
  <c r="Z123" i="18" s="1"/>
  <c r="L123" i="18"/>
  <c r="N123" i="18" s="1"/>
  <c r="B123" i="18"/>
  <c r="Z122" i="18"/>
  <c r="X122" i="18"/>
  <c r="T122" i="18"/>
  <c r="P122" i="18"/>
  <c r="N122" i="18"/>
  <c r="L122" i="18"/>
  <c r="H122" i="18"/>
  <c r="D122" i="18"/>
  <c r="B122" i="18"/>
  <c r="X121" i="18"/>
  <c r="Z121" i="18" s="1"/>
  <c r="N121" i="18"/>
  <c r="L121" i="18"/>
  <c r="B121" i="18"/>
  <c r="Z120" i="18"/>
  <c r="X120" i="18"/>
  <c r="N120" i="18"/>
  <c r="L120" i="18"/>
  <c r="J120" i="18"/>
  <c r="B120" i="18"/>
  <c r="X119" i="18"/>
  <c r="Z119" i="18" s="1"/>
  <c r="N119" i="18"/>
  <c r="L119" i="18"/>
  <c r="B119" i="18"/>
  <c r="Z118" i="18"/>
  <c r="X118" i="18"/>
  <c r="N118" i="18"/>
  <c r="L118" i="18"/>
  <c r="B118" i="18"/>
  <c r="T117" i="18"/>
  <c r="P117" i="18"/>
  <c r="H117" i="18"/>
  <c r="D117" i="18"/>
  <c r="L117" i="18" s="1"/>
  <c r="N117" i="18" s="1"/>
  <c r="B117" i="18"/>
  <c r="Z116" i="18"/>
  <c r="X116" i="18"/>
  <c r="L116" i="18"/>
  <c r="N116" i="18" s="1"/>
  <c r="B116" i="18"/>
  <c r="X115" i="18"/>
  <c r="Z115" i="18" s="1"/>
  <c r="L115" i="18"/>
  <c r="N115" i="18" s="1"/>
  <c r="B115" i="18"/>
  <c r="Z114" i="18"/>
  <c r="X114" i="18"/>
  <c r="N114" i="18"/>
  <c r="L114" i="18"/>
  <c r="B114" i="18"/>
  <c r="Z113" i="18"/>
  <c r="X113" i="18"/>
  <c r="L113" i="18"/>
  <c r="N113" i="18" s="1"/>
  <c r="B113" i="18"/>
  <c r="T112" i="18"/>
  <c r="Z112" i="18" s="1"/>
  <c r="P112" i="18"/>
  <c r="X112" i="18" s="1"/>
  <c r="N112" i="18"/>
  <c r="L112" i="18"/>
  <c r="H112" i="18"/>
  <c r="D112" i="18"/>
  <c r="B112" i="18"/>
  <c r="X111" i="18"/>
  <c r="Z111" i="18" s="1"/>
  <c r="L111" i="18"/>
  <c r="N111" i="18" s="1"/>
  <c r="B111" i="18"/>
  <c r="Z110" i="18"/>
  <c r="X110" i="18"/>
  <c r="T110" i="18"/>
  <c r="P110" i="18"/>
  <c r="N110" i="18"/>
  <c r="L110" i="18"/>
  <c r="H110" i="18"/>
  <c r="D110" i="18"/>
  <c r="B110" i="18"/>
  <c r="X109" i="18"/>
  <c r="Z109" i="18" s="1"/>
  <c r="N109" i="18"/>
  <c r="L109" i="18"/>
  <c r="B109" i="18"/>
  <c r="Z108" i="18"/>
  <c r="X108" i="18"/>
  <c r="T108" i="18"/>
  <c r="P108" i="18"/>
  <c r="N108" i="18"/>
  <c r="H108" i="18"/>
  <c r="D108" i="18"/>
  <c r="L108" i="18" s="1"/>
  <c r="B108" i="18"/>
  <c r="X107" i="18"/>
  <c r="Z107" i="18" s="1"/>
  <c r="N107" i="18"/>
  <c r="L107" i="18"/>
  <c r="B107" i="18"/>
  <c r="T106" i="18"/>
  <c r="P106" i="18"/>
  <c r="X106" i="18" s="1"/>
  <c r="Z106" i="18" s="1"/>
  <c r="H106" i="18"/>
  <c r="D106" i="18"/>
  <c r="L106" i="18" s="1"/>
  <c r="B106" i="18"/>
  <c r="Z105" i="18"/>
  <c r="X105" i="18"/>
  <c r="L105" i="18"/>
  <c r="N105" i="18" s="1"/>
  <c r="B105" i="18"/>
  <c r="T104" i="18"/>
  <c r="Z104" i="18" s="1"/>
  <c r="P104" i="18"/>
  <c r="X104" i="18" s="1"/>
  <c r="N104" i="18"/>
  <c r="L104" i="18"/>
  <c r="H104" i="18"/>
  <c r="D104" i="18"/>
  <c r="B104" i="18"/>
  <c r="Z103" i="18"/>
  <c r="X103" i="18"/>
  <c r="L103" i="18"/>
  <c r="N103" i="18" s="1"/>
  <c r="B103" i="18"/>
  <c r="Z102" i="18"/>
  <c r="X102" i="18"/>
  <c r="N102" i="18"/>
  <c r="L102" i="18"/>
  <c r="B102" i="18"/>
  <c r="T101" i="18"/>
  <c r="P101" i="18"/>
  <c r="X101" i="18" s="1"/>
  <c r="H101" i="18"/>
  <c r="D101" i="18"/>
  <c r="L101" i="18" s="1"/>
  <c r="N101" i="18" s="1"/>
  <c r="B101" i="18"/>
  <c r="X100" i="18"/>
  <c r="Z100" i="18" s="1"/>
  <c r="L100" i="18"/>
  <c r="N100" i="18" s="1"/>
  <c r="B100" i="18"/>
  <c r="Z99" i="18"/>
  <c r="X99" i="18"/>
  <c r="L99" i="18"/>
  <c r="N99" i="18" s="1"/>
  <c r="B99" i="18"/>
  <c r="Z98" i="18"/>
  <c r="X98" i="18"/>
  <c r="T98" i="18"/>
  <c r="P98" i="18"/>
  <c r="L98" i="18"/>
  <c r="N98" i="18" s="1"/>
  <c r="H98" i="18"/>
  <c r="D98" i="18"/>
  <c r="B98" i="18"/>
  <c r="X97" i="18"/>
  <c r="Z97" i="18" s="1"/>
  <c r="N97" i="18"/>
  <c r="L97" i="18"/>
  <c r="B97" i="18"/>
  <c r="X96" i="18"/>
  <c r="Z96" i="18" s="1"/>
  <c r="T96" i="18"/>
  <c r="P96" i="18"/>
  <c r="H96" i="18"/>
  <c r="D96" i="18"/>
  <c r="L96" i="18" s="1"/>
  <c r="N96" i="18" s="1"/>
  <c r="B96" i="18"/>
  <c r="X95" i="18"/>
  <c r="Z95" i="18" s="1"/>
  <c r="N95" i="18"/>
  <c r="L95" i="18"/>
  <c r="B95" i="18"/>
  <c r="T94" i="18"/>
  <c r="P94" i="18"/>
  <c r="X94" i="18" s="1"/>
  <c r="Z94" i="18" s="1"/>
  <c r="J94" i="18"/>
  <c r="H94" i="18"/>
  <c r="D94" i="18"/>
  <c r="L94" i="18" s="1"/>
  <c r="B94" i="18"/>
  <c r="Z93" i="18"/>
  <c r="X93" i="18"/>
  <c r="L93" i="18"/>
  <c r="N93" i="18" s="1"/>
  <c r="B93" i="18"/>
  <c r="T92" i="18"/>
  <c r="P92" i="18"/>
  <c r="X92" i="18" s="1"/>
  <c r="N92" i="18"/>
  <c r="L92" i="18"/>
  <c r="H92" i="18"/>
  <c r="D92" i="18"/>
  <c r="B92" i="18"/>
  <c r="Z91" i="18"/>
  <c r="X91" i="18"/>
  <c r="N91" i="18"/>
  <c r="L91" i="18"/>
  <c r="B91" i="18"/>
  <c r="Z90" i="18"/>
  <c r="X90" i="18"/>
  <c r="N90" i="18"/>
  <c r="L90" i="18"/>
  <c r="B90" i="18"/>
  <c r="T89" i="18"/>
  <c r="Z89" i="18" s="1"/>
  <c r="P89" i="18"/>
  <c r="N89" i="18"/>
  <c r="H89" i="18"/>
  <c r="D89" i="18"/>
  <c r="L89" i="18" s="1"/>
  <c r="B89" i="18"/>
  <c r="X88" i="18"/>
  <c r="Z88" i="18" s="1"/>
  <c r="L88" i="18"/>
  <c r="N88" i="18" s="1"/>
  <c r="B88" i="18"/>
  <c r="Z87" i="18"/>
  <c r="X87" i="18"/>
  <c r="N87" i="18"/>
  <c r="L87" i="18"/>
  <c r="B87" i="18"/>
  <c r="Z86" i="18"/>
  <c r="X86" i="18"/>
  <c r="T86" i="18"/>
  <c r="P86" i="18"/>
  <c r="L86" i="18"/>
  <c r="N86" i="18" s="1"/>
  <c r="H86" i="18"/>
  <c r="D86" i="18"/>
  <c r="B86" i="18"/>
  <c r="X85" i="18"/>
  <c r="Z85" i="18" s="1"/>
  <c r="N85" i="18"/>
  <c r="L85" i="18"/>
  <c r="B85" i="18"/>
  <c r="X84" i="18"/>
  <c r="Z84" i="18" s="1"/>
  <c r="T84" i="18"/>
  <c r="P84" i="18"/>
  <c r="H84" i="18"/>
  <c r="D84" i="18"/>
  <c r="B84" i="18"/>
  <c r="X83" i="18"/>
  <c r="Z83" i="18" s="1"/>
  <c r="L83" i="18"/>
  <c r="N83" i="18" s="1"/>
  <c r="B83" i="18"/>
  <c r="T82" i="18"/>
  <c r="Z82" i="18" s="1"/>
  <c r="P82" i="18"/>
  <c r="X82" i="18" s="1"/>
  <c r="H82" i="18"/>
  <c r="N82" i="18" s="1"/>
  <c r="D82" i="18"/>
  <c r="L82" i="18" s="1"/>
  <c r="B82" i="18"/>
  <c r="Z81" i="18"/>
  <c r="X81" i="18"/>
  <c r="L81" i="18"/>
  <c r="N81" i="18" s="1"/>
  <c r="B81" i="18"/>
  <c r="T80" i="18"/>
  <c r="P80" i="18"/>
  <c r="X80" i="18" s="1"/>
  <c r="N80" i="18"/>
  <c r="L80" i="18"/>
  <c r="H80" i="18"/>
  <c r="D80" i="18"/>
  <c r="B80" i="18"/>
  <c r="Z79" i="18"/>
  <c r="X79" i="18"/>
  <c r="N79" i="18"/>
  <c r="L79" i="18"/>
  <c r="B79" i="18"/>
  <c r="Z78" i="18"/>
  <c r="X78" i="18"/>
  <c r="N78" i="18"/>
  <c r="L78" i="18"/>
  <c r="B78" i="18"/>
  <c r="Z77" i="18"/>
  <c r="X77" i="18"/>
  <c r="L77" i="18"/>
  <c r="N77" i="18" s="1"/>
  <c r="J77" i="18"/>
  <c r="B77" i="18"/>
  <c r="X76" i="18"/>
  <c r="Z76" i="18" s="1"/>
  <c r="L76" i="18"/>
  <c r="N76" i="18" s="1"/>
  <c r="B76" i="18"/>
  <c r="Z75" i="18"/>
  <c r="X75" i="18"/>
  <c r="N75" i="18"/>
  <c r="L75" i="18"/>
  <c r="B75" i="18"/>
  <c r="Z74" i="18"/>
  <c r="X74" i="18"/>
  <c r="N74" i="18"/>
  <c r="L74" i="18"/>
  <c r="B74" i="18"/>
  <c r="X73" i="18"/>
  <c r="Z73" i="18" s="1"/>
  <c r="N73" i="18"/>
  <c r="L73" i="18"/>
  <c r="B73" i="18"/>
  <c r="Z72" i="18"/>
  <c r="X72" i="18"/>
  <c r="N72" i="18"/>
  <c r="L72" i="18"/>
  <c r="B72" i="18"/>
  <c r="X71" i="18"/>
  <c r="Z71" i="18" s="1"/>
  <c r="L71" i="18"/>
  <c r="N71" i="18" s="1"/>
  <c r="B71" i="18"/>
  <c r="Z70" i="18"/>
  <c r="X70" i="18"/>
  <c r="N70" i="18"/>
  <c r="L70" i="18"/>
  <c r="B70" i="18"/>
  <c r="T69" i="18"/>
  <c r="P69" i="18"/>
  <c r="L69" i="18"/>
  <c r="N69" i="18" s="1"/>
  <c r="H69" i="18"/>
  <c r="D69" i="18"/>
  <c r="B69" i="18"/>
  <c r="Z68" i="18"/>
  <c r="X68" i="18"/>
  <c r="L68" i="18"/>
  <c r="N68" i="18" s="1"/>
  <c r="J68" i="18"/>
  <c r="B68" i="18"/>
  <c r="X67" i="18"/>
  <c r="Z67" i="18" s="1"/>
  <c r="L67" i="18"/>
  <c r="N67" i="18" s="1"/>
  <c r="B67" i="18"/>
  <c r="Z66" i="18"/>
  <c r="X66" i="18"/>
  <c r="N66" i="18"/>
  <c r="L66" i="18"/>
  <c r="B66" i="18"/>
  <c r="Z65" i="18"/>
  <c r="X65" i="18"/>
  <c r="N65" i="18"/>
  <c r="L65" i="18"/>
  <c r="B65" i="18"/>
  <c r="Z64" i="18"/>
  <c r="X64" i="18"/>
  <c r="N64" i="18"/>
  <c r="L64" i="18"/>
  <c r="B64" i="18"/>
  <c r="X63" i="18"/>
  <c r="Z63" i="18" s="1"/>
  <c r="L63" i="18"/>
  <c r="N63" i="18" s="1"/>
  <c r="B63" i="18"/>
  <c r="Z62" i="18"/>
  <c r="X62" i="18"/>
  <c r="L62" i="18"/>
  <c r="N62" i="18" s="1"/>
  <c r="B62" i="18"/>
  <c r="X61" i="18"/>
  <c r="Z61" i="18" s="1"/>
  <c r="N61" i="18"/>
  <c r="L61" i="18"/>
  <c r="B61" i="18"/>
  <c r="Z60" i="18"/>
  <c r="X60" i="18"/>
  <c r="L60" i="18"/>
  <c r="N60" i="18" s="1"/>
  <c r="J60" i="18"/>
  <c r="B60" i="18"/>
  <c r="X59" i="18"/>
  <c r="Z59" i="18" s="1"/>
  <c r="L59" i="18"/>
  <c r="N59" i="18" s="1"/>
  <c r="B59" i="18"/>
  <c r="Z58" i="18"/>
  <c r="X58" i="18"/>
  <c r="T58" i="18"/>
  <c r="P58" i="18"/>
  <c r="H58" i="18"/>
  <c r="D58" i="18"/>
  <c r="B58" i="18"/>
  <c r="X57" i="18"/>
  <c r="T57" i="18"/>
  <c r="P57" i="18"/>
  <c r="L57" i="18"/>
  <c r="H57" i="18"/>
  <c r="D57" i="18"/>
  <c r="Z53" i="18"/>
  <c r="X53" i="18"/>
  <c r="N53" i="18"/>
  <c r="L53" i="18"/>
  <c r="B53" i="18"/>
  <c r="Z52" i="18"/>
  <c r="X52" i="18"/>
  <c r="N52" i="18"/>
  <c r="L52" i="18"/>
  <c r="J52" i="18"/>
  <c r="B52" i="18"/>
  <c r="Z51" i="18"/>
  <c r="X51" i="18"/>
  <c r="N51" i="18"/>
  <c r="L51" i="18"/>
  <c r="B51" i="18"/>
  <c r="Z50" i="18"/>
  <c r="X50" i="18"/>
  <c r="N50" i="18"/>
  <c r="L50" i="18"/>
  <c r="B50" i="18"/>
  <c r="Z49" i="18"/>
  <c r="X49" i="18"/>
  <c r="N49" i="18"/>
  <c r="L49" i="18"/>
  <c r="J49" i="18"/>
  <c r="B49" i="18"/>
  <c r="Z48" i="18"/>
  <c r="X48" i="18"/>
  <c r="V48" i="18"/>
  <c r="N48" i="18"/>
  <c r="L48" i="18"/>
  <c r="B48" i="18"/>
  <c r="Z47" i="18"/>
  <c r="X47" i="18"/>
  <c r="N47" i="18"/>
  <c r="L47" i="18"/>
  <c r="B47" i="18"/>
  <c r="Z46" i="18"/>
  <c r="X46" i="18"/>
  <c r="N46" i="18"/>
  <c r="L46" i="18"/>
  <c r="B46" i="18"/>
  <c r="Z45" i="18"/>
  <c r="X45" i="18"/>
  <c r="V45" i="18"/>
  <c r="N45" i="18"/>
  <c r="L45" i="18"/>
  <c r="B45" i="18"/>
  <c r="Z44" i="18"/>
  <c r="X44" i="18"/>
  <c r="N44" i="18"/>
  <c r="L44" i="18"/>
  <c r="J44" i="18"/>
  <c r="B44" i="18"/>
  <c r="Z43" i="18"/>
  <c r="X43" i="18"/>
  <c r="N43" i="18"/>
  <c r="L43" i="18"/>
  <c r="B43" i="18"/>
  <c r="Z42" i="18"/>
  <c r="X42" i="18"/>
  <c r="N42" i="18"/>
  <c r="L42" i="18"/>
  <c r="B42" i="18"/>
  <c r="Z41" i="18"/>
  <c r="X41" i="18"/>
  <c r="N41" i="18"/>
  <c r="L41" i="18"/>
  <c r="J41" i="18"/>
  <c r="B41" i="18"/>
  <c r="Z40" i="18"/>
  <c r="X40" i="18"/>
  <c r="V40" i="18"/>
  <c r="N40" i="18"/>
  <c r="L40" i="18"/>
  <c r="B40" i="18"/>
  <c r="Z39" i="18"/>
  <c r="X39" i="18"/>
  <c r="N39" i="18"/>
  <c r="L39" i="18"/>
  <c r="B39" i="18"/>
  <c r="Z38" i="18"/>
  <c r="X38" i="18"/>
  <c r="N38" i="18"/>
  <c r="L38" i="18"/>
  <c r="B38" i="18"/>
  <c r="Z37" i="18"/>
  <c r="X37" i="18"/>
  <c r="V37" i="18"/>
  <c r="N37" i="18"/>
  <c r="L37" i="18"/>
  <c r="B37" i="18"/>
  <c r="Z36" i="18"/>
  <c r="X36" i="18"/>
  <c r="N36" i="18"/>
  <c r="L36" i="18"/>
  <c r="J36" i="18"/>
  <c r="B36" i="18"/>
  <c r="Z35" i="18"/>
  <c r="X35" i="18"/>
  <c r="N35" i="18"/>
  <c r="L35" i="18"/>
  <c r="B35" i="18"/>
  <c r="Z34" i="18"/>
  <c r="X34" i="18"/>
  <c r="N34" i="18"/>
  <c r="L34" i="18"/>
  <c r="B34" i="18"/>
  <c r="Z33" i="18"/>
  <c r="X33" i="18"/>
  <c r="N33" i="18"/>
  <c r="L33" i="18"/>
  <c r="J33" i="18"/>
  <c r="B33" i="18"/>
  <c r="Z32" i="18"/>
  <c r="X32" i="18"/>
  <c r="V32" i="18"/>
  <c r="N32" i="18"/>
  <c r="L32" i="18"/>
  <c r="B32" i="18"/>
  <c r="Z31" i="18"/>
  <c r="X31" i="18"/>
  <c r="N31" i="18"/>
  <c r="L31" i="18"/>
  <c r="B31" i="18"/>
  <c r="Z30" i="18"/>
  <c r="X30" i="18"/>
  <c r="N30" i="18"/>
  <c r="L30" i="18"/>
  <c r="B30" i="18"/>
  <c r="Z29" i="18"/>
  <c r="X29" i="18"/>
  <c r="V29" i="18"/>
  <c r="N29" i="18"/>
  <c r="L29" i="18"/>
  <c r="B29" i="18"/>
  <c r="Z28" i="18"/>
  <c r="X28" i="18"/>
  <c r="N28" i="18"/>
  <c r="L28" i="18"/>
  <c r="J28" i="18"/>
  <c r="B28" i="18"/>
  <c r="Z27" i="18"/>
  <c r="X27" i="18"/>
  <c r="N27" i="18"/>
  <c r="L27" i="18"/>
  <c r="B27" i="18"/>
  <c r="Z26" i="18"/>
  <c r="X26" i="18"/>
  <c r="N26" i="18"/>
  <c r="L26" i="18"/>
  <c r="B26" i="18"/>
  <c r="Z25" i="18"/>
  <c r="X25" i="18"/>
  <c r="N25" i="18"/>
  <c r="L25" i="18"/>
  <c r="J25" i="18"/>
  <c r="B25" i="18"/>
  <c r="Z24" i="18"/>
  <c r="X24" i="18"/>
  <c r="V24" i="18"/>
  <c r="N24" i="18"/>
  <c r="L24" i="18"/>
  <c r="B24" i="18"/>
  <c r="Z23" i="18"/>
  <c r="X23" i="18"/>
  <c r="N23" i="18"/>
  <c r="L23" i="18"/>
  <c r="B23" i="18"/>
  <c r="Z22" i="18"/>
  <c r="X22" i="18"/>
  <c r="N22" i="18"/>
  <c r="L22" i="18"/>
  <c r="B22" i="18"/>
  <c r="X21" i="18"/>
  <c r="Z21" i="18" s="1"/>
  <c r="V21" i="18"/>
  <c r="L21" i="18"/>
  <c r="N21" i="18" s="1"/>
  <c r="B21" i="18"/>
  <c r="X20" i="18"/>
  <c r="T20" i="18"/>
  <c r="Z20" i="18" s="1"/>
  <c r="P20" i="18"/>
  <c r="H20" i="18"/>
  <c r="D20" i="18"/>
  <c r="L20" i="18" s="1"/>
  <c r="N20" i="18" s="1"/>
  <c r="Z18" i="18"/>
  <c r="P18" i="18"/>
  <c r="N18" i="18"/>
  <c r="D18" i="18"/>
  <c r="L18" i="18" s="1"/>
  <c r="B18" i="18"/>
  <c r="Z17" i="18"/>
  <c r="P17" i="18"/>
  <c r="X17" i="18" s="1"/>
  <c r="N17" i="18"/>
  <c r="D17" i="18"/>
  <c r="L17" i="18" s="1"/>
  <c r="B17" i="18"/>
  <c r="Z16" i="18"/>
  <c r="X16" i="18"/>
  <c r="P16" i="18"/>
  <c r="N16" i="18"/>
  <c r="L16" i="18"/>
  <c r="D16" i="18"/>
  <c r="B16" i="18"/>
  <c r="Z15" i="18"/>
  <c r="P15" i="18"/>
  <c r="X15" i="18" s="1"/>
  <c r="N15" i="18"/>
  <c r="D15" i="18"/>
  <c r="B15" i="18"/>
  <c r="X14" i="18"/>
  <c r="Z14" i="18" s="1"/>
  <c r="P14" i="18"/>
  <c r="D14" i="18"/>
  <c r="L14" i="18" s="1"/>
  <c r="N14" i="18" s="1"/>
  <c r="B14" i="18"/>
  <c r="P13" i="18"/>
  <c r="X13" i="18" s="1"/>
  <c r="Z13" i="18" s="1"/>
  <c r="L13" i="18"/>
  <c r="N13" i="18" s="1"/>
  <c r="D13" i="18"/>
  <c r="B13" i="18"/>
  <c r="T12" i="18"/>
  <c r="V76" i="18" s="1"/>
  <c r="H12" i="18"/>
  <c r="J76" i="18" s="1"/>
  <c r="D4" i="18"/>
  <c r="B39" i="17"/>
  <c r="B38" i="17"/>
  <c r="T34" i="17"/>
  <c r="Z34" i="17" s="1"/>
  <c r="P34" i="17"/>
  <c r="H34" i="17"/>
  <c r="N34" i="17" s="1"/>
  <c r="D34" i="17"/>
  <c r="T33" i="17"/>
  <c r="Z33" i="17" s="1"/>
  <c r="P33" i="17"/>
  <c r="H33" i="17"/>
  <c r="N33" i="17" s="1"/>
  <c r="D33" i="17"/>
  <c r="T29" i="17"/>
  <c r="Z29" i="17" s="1"/>
  <c r="P29" i="17"/>
  <c r="H29" i="17"/>
  <c r="N29" i="17" s="1"/>
  <c r="D29" i="17"/>
  <c r="T25" i="17"/>
  <c r="Z25" i="17" s="1"/>
  <c r="P25" i="17"/>
  <c r="H25" i="17"/>
  <c r="N25" i="17" s="1"/>
  <c r="D25" i="17"/>
  <c r="B25" i="17"/>
  <c r="T24" i="17"/>
  <c r="Z24" i="17" s="1"/>
  <c r="P24" i="17"/>
  <c r="H24" i="17"/>
  <c r="N24" i="17" s="1"/>
  <c r="D24" i="17"/>
  <c r="T22" i="17"/>
  <c r="Z22" i="17" s="1"/>
  <c r="P22" i="17"/>
  <c r="H22" i="17"/>
  <c r="N22" i="17" s="1"/>
  <c r="D22" i="17"/>
  <c r="B22" i="17"/>
  <c r="T21" i="17"/>
  <c r="Z21" i="17" s="1"/>
  <c r="P21" i="17"/>
  <c r="H21" i="17"/>
  <c r="N21" i="17" s="1"/>
  <c r="D21" i="17"/>
  <c r="B21" i="17"/>
  <c r="T20" i="17"/>
  <c r="Z20" i="17" s="1"/>
  <c r="P20" i="17"/>
  <c r="H20" i="17"/>
  <c r="N20" i="17" s="1"/>
  <c r="D20" i="17"/>
  <c r="T16" i="17"/>
  <c r="Z16" i="17" s="1"/>
  <c r="P16" i="17"/>
  <c r="H16" i="17"/>
  <c r="N16" i="17" s="1"/>
  <c r="D16" i="17"/>
  <c r="B16" i="17"/>
  <c r="T15" i="17"/>
  <c r="Z15" i="17" s="1"/>
  <c r="P15" i="17"/>
  <c r="H15" i="17"/>
  <c r="N15" i="17" s="1"/>
  <c r="D15" i="17"/>
  <c r="T13" i="17"/>
  <c r="Z13" i="17" s="1"/>
  <c r="P13" i="17"/>
  <c r="H13" i="17"/>
  <c r="N13" i="17" s="1"/>
  <c r="D13" i="17"/>
  <c r="B13" i="17"/>
  <c r="T12" i="17"/>
  <c r="P12" i="17"/>
  <c r="H12" i="17"/>
  <c r="J21" i="17" s="1"/>
  <c r="D12" i="17"/>
  <c r="F34" i="17" s="1"/>
  <c r="D5" i="17"/>
  <c r="D4" i="17"/>
  <c r="B39" i="16"/>
  <c r="B38" i="16"/>
  <c r="T34" i="16"/>
  <c r="Z34" i="16" s="1"/>
  <c r="P34" i="16"/>
  <c r="H34" i="16"/>
  <c r="N34" i="16" s="1"/>
  <c r="D34" i="16"/>
  <c r="T33" i="16"/>
  <c r="Z33" i="16" s="1"/>
  <c r="P33" i="16"/>
  <c r="H33" i="16"/>
  <c r="N33" i="16" s="1"/>
  <c r="D33" i="16"/>
  <c r="T29" i="16"/>
  <c r="Z29" i="16" s="1"/>
  <c r="P29" i="16"/>
  <c r="H29" i="16"/>
  <c r="N29" i="16" s="1"/>
  <c r="D29" i="16"/>
  <c r="T25" i="16"/>
  <c r="Z25" i="16" s="1"/>
  <c r="P25" i="16"/>
  <c r="H25" i="16"/>
  <c r="N25" i="16" s="1"/>
  <c r="D25" i="16"/>
  <c r="B25" i="16"/>
  <c r="T24" i="16"/>
  <c r="Z24" i="16" s="1"/>
  <c r="P24" i="16"/>
  <c r="H24" i="16"/>
  <c r="N24" i="16" s="1"/>
  <c r="D24" i="16"/>
  <c r="T22" i="16"/>
  <c r="Z22" i="16" s="1"/>
  <c r="P22" i="16"/>
  <c r="H22" i="16"/>
  <c r="N22" i="16" s="1"/>
  <c r="D22" i="16"/>
  <c r="B22" i="16"/>
  <c r="T21" i="16"/>
  <c r="Z21" i="16" s="1"/>
  <c r="P21" i="16"/>
  <c r="H21" i="16"/>
  <c r="N21" i="16" s="1"/>
  <c r="D21" i="16"/>
  <c r="B21" i="16"/>
  <c r="T20" i="16"/>
  <c r="P20" i="16"/>
  <c r="H20" i="16"/>
  <c r="N20" i="16" s="1"/>
  <c r="D20" i="16"/>
  <c r="T16" i="16"/>
  <c r="Z16" i="16" s="1"/>
  <c r="P16" i="16"/>
  <c r="H16" i="16"/>
  <c r="N16" i="16" s="1"/>
  <c r="D16" i="16"/>
  <c r="B16" i="16"/>
  <c r="T15" i="16"/>
  <c r="Z15" i="16" s="1"/>
  <c r="P15" i="16"/>
  <c r="H15" i="16"/>
  <c r="N15" i="16" s="1"/>
  <c r="D15" i="16"/>
  <c r="T13" i="16"/>
  <c r="Z13" i="16" s="1"/>
  <c r="P13" i="16"/>
  <c r="H13" i="16"/>
  <c r="N13" i="16" s="1"/>
  <c r="D13" i="16"/>
  <c r="B13" i="16"/>
  <c r="T12" i="16"/>
  <c r="V20" i="16" s="1"/>
  <c r="P12" i="16"/>
  <c r="R22" i="16" s="1"/>
  <c r="H12" i="16"/>
  <c r="J24" i="16" s="1"/>
  <c r="D12" i="16"/>
  <c r="D5" i="16"/>
  <c r="D4" i="16"/>
  <c r="Z152" i="15"/>
  <c r="X152" i="15"/>
  <c r="L152" i="15"/>
  <c r="N152" i="15" s="1"/>
  <c r="Z148" i="15"/>
  <c r="X148" i="15"/>
  <c r="P148" i="15"/>
  <c r="N148" i="15"/>
  <c r="D148" i="15"/>
  <c r="L148" i="15" s="1"/>
  <c r="B148" i="15"/>
  <c r="Z147" i="15"/>
  <c r="X147" i="15"/>
  <c r="P147" i="15"/>
  <c r="N147" i="15"/>
  <c r="L147" i="15"/>
  <c r="D147" i="15"/>
  <c r="B147" i="15"/>
  <c r="Z146" i="15"/>
  <c r="X146" i="15"/>
  <c r="P146" i="15"/>
  <c r="N146" i="15"/>
  <c r="L146" i="15"/>
  <c r="D146" i="15"/>
  <c r="B146" i="15"/>
  <c r="P145" i="15"/>
  <c r="X145" i="15" s="1"/>
  <c r="Z145" i="15" s="1"/>
  <c r="L145" i="15"/>
  <c r="N145" i="15" s="1"/>
  <c r="D145" i="15"/>
  <c r="B145" i="15"/>
  <c r="P144" i="15"/>
  <c r="X144" i="15" s="1"/>
  <c r="Z144" i="15" s="1"/>
  <c r="N144" i="15"/>
  <c r="D144" i="15"/>
  <c r="L144" i="15" s="1"/>
  <c r="B144" i="15"/>
  <c r="V143" i="15"/>
  <c r="T143" i="15"/>
  <c r="P143" i="15"/>
  <c r="X143" i="15" s="1"/>
  <c r="Z143" i="15" s="1"/>
  <c r="H143" i="15"/>
  <c r="X141" i="15"/>
  <c r="Z141" i="15" s="1"/>
  <c r="L141" i="15"/>
  <c r="N141" i="15" s="1"/>
  <c r="J141" i="15"/>
  <c r="B141" i="15"/>
  <c r="T140" i="15"/>
  <c r="P140" i="15"/>
  <c r="X140" i="15" s="1"/>
  <c r="Z140" i="15" s="1"/>
  <c r="L140" i="15"/>
  <c r="H140" i="15"/>
  <c r="N140" i="15" s="1"/>
  <c r="D140" i="15"/>
  <c r="B140" i="15"/>
  <c r="Z139" i="15"/>
  <c r="X139" i="15"/>
  <c r="N139" i="15"/>
  <c r="L139" i="15"/>
  <c r="B139" i="15"/>
  <c r="X138" i="15"/>
  <c r="Z138" i="15" s="1"/>
  <c r="L138" i="15"/>
  <c r="N138" i="15" s="1"/>
  <c r="B138" i="15"/>
  <c r="X137" i="15"/>
  <c r="Z137" i="15" s="1"/>
  <c r="L137" i="15"/>
  <c r="N137" i="15" s="1"/>
  <c r="J137" i="15"/>
  <c r="B137" i="15"/>
  <c r="T136" i="15"/>
  <c r="P136" i="15"/>
  <c r="X136" i="15" s="1"/>
  <c r="Z136" i="15" s="1"/>
  <c r="L136" i="15"/>
  <c r="H136" i="15"/>
  <c r="N136" i="15" s="1"/>
  <c r="D136" i="15"/>
  <c r="B136" i="15"/>
  <c r="Z135" i="15"/>
  <c r="X135" i="15"/>
  <c r="N135" i="15"/>
  <c r="L135" i="15"/>
  <c r="B135" i="15"/>
  <c r="X134" i="15"/>
  <c r="T134" i="15"/>
  <c r="Z134" i="15" s="1"/>
  <c r="P134" i="15"/>
  <c r="N134" i="15"/>
  <c r="L134" i="15"/>
  <c r="H134" i="15"/>
  <c r="D134" i="15"/>
  <c r="B134" i="15"/>
  <c r="X133" i="15"/>
  <c r="Z133" i="15" s="1"/>
  <c r="V133" i="15"/>
  <c r="L133" i="15"/>
  <c r="N133" i="15" s="1"/>
  <c r="B133" i="15"/>
  <c r="Z132" i="15"/>
  <c r="X132" i="15"/>
  <c r="N132" i="15"/>
  <c r="L132" i="15"/>
  <c r="B132" i="15"/>
  <c r="Z131" i="15"/>
  <c r="T131" i="15"/>
  <c r="P131" i="15"/>
  <c r="X131" i="15" s="1"/>
  <c r="J131" i="15"/>
  <c r="H131" i="15"/>
  <c r="D131" i="15"/>
  <c r="L131" i="15" s="1"/>
  <c r="N131" i="15" s="1"/>
  <c r="B131" i="15"/>
  <c r="X130" i="15"/>
  <c r="Z130" i="15" s="1"/>
  <c r="L130" i="15"/>
  <c r="N130" i="15" s="1"/>
  <c r="B130" i="15"/>
  <c r="X129" i="15"/>
  <c r="Z129" i="15" s="1"/>
  <c r="V129" i="15"/>
  <c r="L129" i="15"/>
  <c r="N129" i="15" s="1"/>
  <c r="B129" i="15"/>
  <c r="X128" i="15"/>
  <c r="Z128" i="15" s="1"/>
  <c r="N128" i="15"/>
  <c r="L128" i="15"/>
  <c r="B128" i="15"/>
  <c r="Z127" i="15"/>
  <c r="X127" i="15"/>
  <c r="N127" i="15"/>
  <c r="L127" i="15"/>
  <c r="B127" i="15"/>
  <c r="X126" i="15"/>
  <c r="Z126" i="15" s="1"/>
  <c r="L126" i="15"/>
  <c r="N126" i="15" s="1"/>
  <c r="B126" i="15"/>
  <c r="X125" i="15"/>
  <c r="Z125" i="15" s="1"/>
  <c r="L125" i="15"/>
  <c r="N125" i="15" s="1"/>
  <c r="J125" i="15"/>
  <c r="B125" i="15"/>
  <c r="Z124" i="15"/>
  <c r="X124" i="15"/>
  <c r="L124" i="15"/>
  <c r="N124" i="15" s="1"/>
  <c r="B124" i="15"/>
  <c r="T123" i="15"/>
  <c r="P123" i="15"/>
  <c r="L123" i="15"/>
  <c r="N123" i="15" s="1"/>
  <c r="H123" i="15"/>
  <c r="D123" i="15"/>
  <c r="B123" i="15"/>
  <c r="X122" i="15"/>
  <c r="Z122" i="15" s="1"/>
  <c r="L122" i="15"/>
  <c r="N122" i="15" s="1"/>
  <c r="B122" i="15"/>
  <c r="X121" i="15"/>
  <c r="Z121" i="15" s="1"/>
  <c r="L121" i="15"/>
  <c r="N121" i="15" s="1"/>
  <c r="J121" i="15"/>
  <c r="B121" i="15"/>
  <c r="T120" i="15"/>
  <c r="P120" i="15"/>
  <c r="X120" i="15" s="1"/>
  <c r="Z120" i="15" s="1"/>
  <c r="L120" i="15"/>
  <c r="H120" i="15"/>
  <c r="N120" i="15" s="1"/>
  <c r="D120" i="15"/>
  <c r="B120" i="15"/>
  <c r="Z119" i="15"/>
  <c r="X119" i="15"/>
  <c r="N119" i="15"/>
  <c r="L119" i="15"/>
  <c r="B119" i="15"/>
  <c r="X118" i="15"/>
  <c r="Z118" i="15" s="1"/>
  <c r="L118" i="15"/>
  <c r="N118" i="15" s="1"/>
  <c r="B118" i="15"/>
  <c r="X117" i="15"/>
  <c r="Z117" i="15" s="1"/>
  <c r="L117" i="15"/>
  <c r="N117" i="15" s="1"/>
  <c r="J117" i="15"/>
  <c r="B117" i="15"/>
  <c r="T116" i="15"/>
  <c r="P116" i="15"/>
  <c r="X116" i="15" s="1"/>
  <c r="Z116" i="15" s="1"/>
  <c r="L116" i="15"/>
  <c r="H116" i="15"/>
  <c r="N116" i="15" s="1"/>
  <c r="D116" i="15"/>
  <c r="B116" i="15"/>
  <c r="Z115" i="15"/>
  <c r="X115" i="15"/>
  <c r="N115" i="15"/>
  <c r="L115" i="15"/>
  <c r="B115" i="15"/>
  <c r="Z114" i="15"/>
  <c r="X114" i="15"/>
  <c r="N114" i="15"/>
  <c r="L114" i="15"/>
  <c r="B114" i="15"/>
  <c r="X113" i="15"/>
  <c r="Z113" i="15" s="1"/>
  <c r="N113" i="15"/>
  <c r="L113" i="15"/>
  <c r="J113" i="15"/>
  <c r="B113" i="15"/>
  <c r="Z112" i="15"/>
  <c r="X112" i="15"/>
  <c r="L112" i="15"/>
  <c r="N112" i="15" s="1"/>
  <c r="B112" i="15"/>
  <c r="T111" i="15"/>
  <c r="Z111" i="15" s="1"/>
  <c r="P111" i="15"/>
  <c r="X111" i="15" s="1"/>
  <c r="H111" i="15"/>
  <c r="D111" i="15"/>
  <c r="L111" i="15" s="1"/>
  <c r="N111" i="15" s="1"/>
  <c r="B111" i="15"/>
  <c r="X110" i="15"/>
  <c r="Z110" i="15" s="1"/>
  <c r="L110" i="15"/>
  <c r="N110" i="15" s="1"/>
  <c r="B110" i="15"/>
  <c r="X109" i="15"/>
  <c r="Z109" i="15" s="1"/>
  <c r="L109" i="15"/>
  <c r="N109" i="15" s="1"/>
  <c r="J109" i="15"/>
  <c r="B109" i="15"/>
  <c r="Z108" i="15"/>
  <c r="X108" i="15"/>
  <c r="L108" i="15"/>
  <c r="N108" i="15" s="1"/>
  <c r="B108" i="15"/>
  <c r="X107" i="15"/>
  <c r="Z107" i="15" s="1"/>
  <c r="N107" i="15"/>
  <c r="L107" i="15"/>
  <c r="B107" i="15"/>
  <c r="T106" i="15"/>
  <c r="P106" i="15"/>
  <c r="X106" i="15" s="1"/>
  <c r="H106" i="15"/>
  <c r="D106" i="15"/>
  <c r="L106" i="15" s="1"/>
  <c r="N106" i="15" s="1"/>
  <c r="B106" i="15"/>
  <c r="X105" i="15"/>
  <c r="Z105" i="15" s="1"/>
  <c r="L105" i="15"/>
  <c r="N105" i="15" s="1"/>
  <c r="J105" i="15"/>
  <c r="B105" i="15"/>
  <c r="T104" i="15"/>
  <c r="P104" i="15"/>
  <c r="X104" i="15" s="1"/>
  <c r="Z104" i="15" s="1"/>
  <c r="L104" i="15"/>
  <c r="N104" i="15" s="1"/>
  <c r="H104" i="15"/>
  <c r="D104" i="15"/>
  <c r="B104" i="15"/>
  <c r="Z103" i="15"/>
  <c r="X103" i="15"/>
  <c r="N103" i="15"/>
  <c r="L103" i="15"/>
  <c r="B103" i="15"/>
  <c r="X102" i="15"/>
  <c r="Z102" i="15" s="1"/>
  <c r="T102" i="15"/>
  <c r="P102" i="15"/>
  <c r="N102" i="15"/>
  <c r="L102" i="15"/>
  <c r="H102" i="15"/>
  <c r="D102" i="15"/>
  <c r="B102" i="15"/>
  <c r="X101" i="15"/>
  <c r="Z101" i="15" s="1"/>
  <c r="V101" i="15"/>
  <c r="L101" i="15"/>
  <c r="N101" i="15" s="1"/>
  <c r="B101" i="15"/>
  <c r="X100" i="15"/>
  <c r="Z100" i="15" s="1"/>
  <c r="T100" i="15"/>
  <c r="P100" i="15"/>
  <c r="H100" i="15"/>
  <c r="D100" i="15"/>
  <c r="L100" i="15" s="1"/>
  <c r="B100" i="15"/>
  <c r="Z99" i="15"/>
  <c r="X99" i="15"/>
  <c r="N99" i="15"/>
  <c r="L99" i="15"/>
  <c r="B99" i="15"/>
  <c r="T98" i="15"/>
  <c r="P98" i="15"/>
  <c r="X98" i="15" s="1"/>
  <c r="H98" i="15"/>
  <c r="D98" i="15"/>
  <c r="L98" i="15" s="1"/>
  <c r="N98" i="15" s="1"/>
  <c r="B98" i="15"/>
  <c r="X97" i="15"/>
  <c r="Z97" i="15" s="1"/>
  <c r="L97" i="15"/>
  <c r="N97" i="15" s="1"/>
  <c r="J97" i="15"/>
  <c r="B97" i="15"/>
  <c r="Z96" i="15"/>
  <c r="X96" i="15"/>
  <c r="N96" i="15"/>
  <c r="L96" i="15"/>
  <c r="B96" i="15"/>
  <c r="T95" i="15"/>
  <c r="Z95" i="15" s="1"/>
  <c r="P95" i="15"/>
  <c r="X95" i="15" s="1"/>
  <c r="H95" i="15"/>
  <c r="D95" i="15"/>
  <c r="L95" i="15" s="1"/>
  <c r="N95" i="15" s="1"/>
  <c r="B95" i="15"/>
  <c r="X94" i="15"/>
  <c r="Z94" i="15" s="1"/>
  <c r="L94" i="15"/>
  <c r="N94" i="15" s="1"/>
  <c r="B94" i="15"/>
  <c r="X93" i="15"/>
  <c r="Z93" i="15" s="1"/>
  <c r="L93" i="15"/>
  <c r="N93" i="15" s="1"/>
  <c r="J93" i="15"/>
  <c r="B93" i="15"/>
  <c r="T92" i="15"/>
  <c r="P92" i="15"/>
  <c r="X92" i="15" s="1"/>
  <c r="Z92" i="15" s="1"/>
  <c r="L92" i="15"/>
  <c r="N92" i="15" s="1"/>
  <c r="H92" i="15"/>
  <c r="D92" i="15"/>
  <c r="B92" i="15"/>
  <c r="Z91" i="15"/>
  <c r="X91" i="15"/>
  <c r="N91" i="15"/>
  <c r="L91" i="15"/>
  <c r="B91" i="15"/>
  <c r="X90" i="15"/>
  <c r="Z90" i="15" s="1"/>
  <c r="T90" i="15"/>
  <c r="P90" i="15"/>
  <c r="L90" i="15"/>
  <c r="N90" i="15" s="1"/>
  <c r="H90" i="15"/>
  <c r="D90" i="15"/>
  <c r="B90" i="15"/>
  <c r="X89" i="15"/>
  <c r="Z89" i="15" s="1"/>
  <c r="V89" i="15"/>
  <c r="L89" i="15"/>
  <c r="N89" i="15" s="1"/>
  <c r="B89" i="15"/>
  <c r="X88" i="15"/>
  <c r="Z88" i="15" s="1"/>
  <c r="T88" i="15"/>
  <c r="P88" i="15"/>
  <c r="H88" i="15"/>
  <c r="D88" i="15"/>
  <c r="L88" i="15" s="1"/>
  <c r="B88" i="15"/>
  <c r="Z87" i="15"/>
  <c r="X87" i="15"/>
  <c r="N87" i="15"/>
  <c r="L87" i="15"/>
  <c r="B87" i="15"/>
  <c r="T86" i="15"/>
  <c r="P86" i="15"/>
  <c r="X86" i="15" s="1"/>
  <c r="H86" i="15"/>
  <c r="D86" i="15"/>
  <c r="L86" i="15" s="1"/>
  <c r="N86" i="15" s="1"/>
  <c r="B86" i="15"/>
  <c r="Z85" i="15"/>
  <c r="X85" i="15"/>
  <c r="N85" i="15"/>
  <c r="L85" i="15"/>
  <c r="J85" i="15"/>
  <c r="B85" i="15"/>
  <c r="Z84" i="15"/>
  <c r="X84" i="15"/>
  <c r="N84" i="15"/>
  <c r="L84" i="15"/>
  <c r="B84" i="15"/>
  <c r="T83" i="15"/>
  <c r="Z83" i="15" s="1"/>
  <c r="P83" i="15"/>
  <c r="X83" i="15" s="1"/>
  <c r="N83" i="15"/>
  <c r="L83" i="15"/>
  <c r="H83" i="15"/>
  <c r="D83" i="15"/>
  <c r="B83" i="15"/>
  <c r="X82" i="15"/>
  <c r="Z82" i="15" s="1"/>
  <c r="L82" i="15"/>
  <c r="N82" i="15" s="1"/>
  <c r="B82" i="15"/>
  <c r="Z81" i="15"/>
  <c r="X81" i="15"/>
  <c r="N81" i="15"/>
  <c r="L81" i="15"/>
  <c r="J81" i="15"/>
  <c r="B81" i="15"/>
  <c r="T80" i="15"/>
  <c r="P80" i="15"/>
  <c r="X80" i="15" s="1"/>
  <c r="Z80" i="15" s="1"/>
  <c r="L80" i="15"/>
  <c r="N80" i="15" s="1"/>
  <c r="H80" i="15"/>
  <c r="D80" i="15"/>
  <c r="B80" i="15"/>
  <c r="Z79" i="15"/>
  <c r="X79" i="15"/>
  <c r="N79" i="15"/>
  <c r="L79" i="15"/>
  <c r="B79" i="15"/>
  <c r="X78" i="15"/>
  <c r="Z78" i="15" s="1"/>
  <c r="T78" i="15"/>
  <c r="P78" i="15"/>
  <c r="L78" i="15"/>
  <c r="N78" i="15" s="1"/>
  <c r="H78" i="15"/>
  <c r="D78" i="15"/>
  <c r="B78" i="15"/>
  <c r="X77" i="15"/>
  <c r="Z77" i="15" s="1"/>
  <c r="V77" i="15"/>
  <c r="L77" i="15"/>
  <c r="N77" i="15" s="1"/>
  <c r="B77" i="15"/>
  <c r="X76" i="15"/>
  <c r="Z76" i="15" s="1"/>
  <c r="T76" i="15"/>
  <c r="P76" i="15"/>
  <c r="H76" i="15"/>
  <c r="D76" i="15"/>
  <c r="L76" i="15" s="1"/>
  <c r="B76" i="15"/>
  <c r="Z75" i="15"/>
  <c r="X75" i="15"/>
  <c r="N75" i="15"/>
  <c r="L75" i="15"/>
  <c r="B75" i="15"/>
  <c r="T74" i="15"/>
  <c r="P74" i="15"/>
  <c r="X74" i="15" s="1"/>
  <c r="H74" i="15"/>
  <c r="D74" i="15"/>
  <c r="L74" i="15" s="1"/>
  <c r="N74" i="15" s="1"/>
  <c r="B74" i="15"/>
  <c r="Z73" i="15"/>
  <c r="X73" i="15"/>
  <c r="N73" i="15"/>
  <c r="L73" i="15"/>
  <c r="J73" i="15"/>
  <c r="B73" i="15"/>
  <c r="Z72" i="15"/>
  <c r="X72" i="15"/>
  <c r="N72" i="15"/>
  <c r="L72" i="15"/>
  <c r="B72" i="15"/>
  <c r="Z71" i="15"/>
  <c r="X71" i="15"/>
  <c r="N71" i="15"/>
  <c r="L71" i="15"/>
  <c r="B71" i="15"/>
  <c r="X70" i="15"/>
  <c r="Z70" i="15" s="1"/>
  <c r="L70" i="15"/>
  <c r="N70" i="15" s="1"/>
  <c r="B70" i="15"/>
  <c r="Z69" i="15"/>
  <c r="X69" i="15"/>
  <c r="V69" i="15"/>
  <c r="N69" i="15"/>
  <c r="L69" i="15"/>
  <c r="B69" i="15"/>
  <c r="X68" i="15"/>
  <c r="Z68" i="15" s="1"/>
  <c r="N68" i="15"/>
  <c r="L68" i="15"/>
  <c r="B68" i="15"/>
  <c r="Z67" i="15"/>
  <c r="X67" i="15"/>
  <c r="N67" i="15"/>
  <c r="L67" i="15"/>
  <c r="B67" i="15"/>
  <c r="Z66" i="15"/>
  <c r="X66" i="15"/>
  <c r="N66" i="15"/>
  <c r="L66" i="15"/>
  <c r="B66" i="15"/>
  <c r="X65" i="15"/>
  <c r="Z65" i="15" s="1"/>
  <c r="L65" i="15"/>
  <c r="N65" i="15" s="1"/>
  <c r="J65" i="15"/>
  <c r="B65" i="15"/>
  <c r="Z64" i="15"/>
  <c r="X64" i="15"/>
  <c r="L64" i="15"/>
  <c r="N64" i="15" s="1"/>
  <c r="B64" i="15"/>
  <c r="T63" i="15"/>
  <c r="Z63" i="15" s="1"/>
  <c r="P63" i="15"/>
  <c r="X63" i="15" s="1"/>
  <c r="L63" i="15"/>
  <c r="N63" i="15" s="1"/>
  <c r="H63" i="15"/>
  <c r="D63" i="15"/>
  <c r="B63" i="15"/>
  <c r="X62" i="15"/>
  <c r="Z62" i="15" s="1"/>
  <c r="L62" i="15"/>
  <c r="N62" i="15" s="1"/>
  <c r="F62" i="15"/>
  <c r="B62" i="15"/>
  <c r="X61" i="15"/>
  <c r="Z61" i="15" s="1"/>
  <c r="L61" i="15"/>
  <c r="N61" i="15" s="1"/>
  <c r="J61" i="15"/>
  <c r="B61" i="15"/>
  <c r="Z60" i="15"/>
  <c r="X60" i="15"/>
  <c r="L60" i="15"/>
  <c r="N60" i="15" s="1"/>
  <c r="B60" i="15"/>
  <c r="Z59" i="15"/>
  <c r="X59" i="15"/>
  <c r="N59" i="15"/>
  <c r="L59" i="15"/>
  <c r="B59" i="15"/>
  <c r="Z58" i="15"/>
  <c r="X58" i="15"/>
  <c r="N58" i="15"/>
  <c r="L58" i="15"/>
  <c r="B58" i="15"/>
  <c r="X57" i="15"/>
  <c r="Z57" i="15" s="1"/>
  <c r="V57" i="15"/>
  <c r="L57" i="15"/>
  <c r="N57" i="15" s="1"/>
  <c r="B57" i="15"/>
  <c r="X56" i="15"/>
  <c r="Z56" i="15" s="1"/>
  <c r="N56" i="15"/>
  <c r="L56" i="15"/>
  <c r="B56" i="15"/>
  <c r="Z55" i="15"/>
  <c r="X55" i="15"/>
  <c r="N55" i="15"/>
  <c r="L55" i="15"/>
  <c r="B55" i="15"/>
  <c r="X54" i="15"/>
  <c r="Z54" i="15" s="1"/>
  <c r="L54" i="15"/>
  <c r="N54" i="15" s="1"/>
  <c r="F54" i="15"/>
  <c r="B54" i="15"/>
  <c r="X53" i="15"/>
  <c r="Z53" i="15" s="1"/>
  <c r="L53" i="15"/>
  <c r="N53" i="15" s="1"/>
  <c r="J53" i="15"/>
  <c r="B53" i="15"/>
  <c r="T52" i="15"/>
  <c r="P52" i="15"/>
  <c r="X52" i="15" s="1"/>
  <c r="Z52" i="15" s="1"/>
  <c r="L52" i="15"/>
  <c r="N52" i="15" s="1"/>
  <c r="H52" i="15"/>
  <c r="D52" i="15"/>
  <c r="B52" i="15"/>
  <c r="Z51" i="15"/>
  <c r="T51" i="15"/>
  <c r="P51" i="15"/>
  <c r="X51" i="15" s="1"/>
  <c r="J51" i="15"/>
  <c r="H51" i="15"/>
  <c r="N51" i="15" s="1"/>
  <c r="D51" i="15"/>
  <c r="L51" i="15" s="1"/>
  <c r="Z47" i="15"/>
  <c r="X47" i="15"/>
  <c r="N47" i="15"/>
  <c r="L47" i="15"/>
  <c r="B47" i="15"/>
  <c r="Z46" i="15"/>
  <c r="X46" i="15"/>
  <c r="N46" i="15"/>
  <c r="L46" i="15"/>
  <c r="F46" i="15"/>
  <c r="B46" i="15"/>
  <c r="Z45" i="15"/>
  <c r="X45" i="15"/>
  <c r="N45" i="15"/>
  <c r="L45" i="15"/>
  <c r="J45" i="15"/>
  <c r="B45" i="15"/>
  <c r="Z44" i="15"/>
  <c r="X44" i="15"/>
  <c r="N44" i="15"/>
  <c r="L44" i="15"/>
  <c r="B44" i="15"/>
  <c r="Z43" i="15"/>
  <c r="X43" i="15"/>
  <c r="N43" i="15"/>
  <c r="L43" i="15"/>
  <c r="B43" i="15"/>
  <c r="Z42" i="15"/>
  <c r="X42" i="15"/>
  <c r="N42" i="15"/>
  <c r="L42" i="15"/>
  <c r="B42" i="15"/>
  <c r="Z41" i="15"/>
  <c r="X41" i="15"/>
  <c r="V41" i="15"/>
  <c r="N41" i="15"/>
  <c r="L41" i="15"/>
  <c r="B41" i="15"/>
  <c r="Z40" i="15"/>
  <c r="X40" i="15"/>
  <c r="N40" i="15"/>
  <c r="L40" i="15"/>
  <c r="B40" i="15"/>
  <c r="Z39" i="15"/>
  <c r="X39" i="15"/>
  <c r="N39" i="15"/>
  <c r="L39" i="15"/>
  <c r="B39" i="15"/>
  <c r="Z38" i="15"/>
  <c r="X38" i="15"/>
  <c r="N38" i="15"/>
  <c r="L38" i="15"/>
  <c r="F38" i="15"/>
  <c r="B38" i="15"/>
  <c r="Z37" i="15"/>
  <c r="X37" i="15"/>
  <c r="N37" i="15"/>
  <c r="L37" i="15"/>
  <c r="J37" i="15"/>
  <c r="B37" i="15"/>
  <c r="Z36" i="15"/>
  <c r="X36" i="15"/>
  <c r="N36" i="15"/>
  <c r="L36" i="15"/>
  <c r="B36" i="15"/>
  <c r="Z35" i="15"/>
  <c r="X35" i="15"/>
  <c r="N35" i="15"/>
  <c r="L35" i="15"/>
  <c r="B35" i="15"/>
  <c r="Z34" i="15"/>
  <c r="X34" i="15"/>
  <c r="N34" i="15"/>
  <c r="L34" i="15"/>
  <c r="J34" i="15"/>
  <c r="B34" i="15"/>
  <c r="Z33" i="15"/>
  <c r="X33" i="15"/>
  <c r="V33" i="15"/>
  <c r="N33" i="15"/>
  <c r="L33" i="15"/>
  <c r="B33" i="15"/>
  <c r="Z32" i="15"/>
  <c r="X32" i="15"/>
  <c r="N32" i="15"/>
  <c r="L32" i="15"/>
  <c r="B32" i="15"/>
  <c r="Z31" i="15"/>
  <c r="X31" i="15"/>
  <c r="N31" i="15"/>
  <c r="L31" i="15"/>
  <c r="B31" i="15"/>
  <c r="Z30" i="15"/>
  <c r="X30" i="15"/>
  <c r="N30" i="15"/>
  <c r="L30" i="15"/>
  <c r="B30" i="15"/>
  <c r="Z29" i="15"/>
  <c r="X29" i="15"/>
  <c r="N29" i="15"/>
  <c r="L29" i="15"/>
  <c r="J29" i="15"/>
  <c r="B29" i="15"/>
  <c r="Z28" i="15"/>
  <c r="X28" i="15"/>
  <c r="N28" i="15"/>
  <c r="L28" i="15"/>
  <c r="B28" i="15"/>
  <c r="Z27" i="15"/>
  <c r="X27" i="15"/>
  <c r="N27" i="15"/>
  <c r="L27" i="15"/>
  <c r="B27" i="15"/>
  <c r="Z26" i="15"/>
  <c r="X26" i="15"/>
  <c r="N26" i="15"/>
  <c r="L26" i="15"/>
  <c r="J26" i="15"/>
  <c r="B26" i="15"/>
  <c r="Z25" i="15"/>
  <c r="X25" i="15"/>
  <c r="V25" i="15"/>
  <c r="N25" i="15"/>
  <c r="L25" i="15"/>
  <c r="B25" i="15"/>
  <c r="Z24" i="15"/>
  <c r="X24" i="15"/>
  <c r="N24" i="15"/>
  <c r="L24" i="15"/>
  <c r="B24" i="15"/>
  <c r="Z23" i="15"/>
  <c r="X23" i="15"/>
  <c r="N23" i="15"/>
  <c r="L23" i="15"/>
  <c r="B23" i="15"/>
  <c r="Z22" i="15"/>
  <c r="X22" i="15"/>
  <c r="N22" i="15"/>
  <c r="L22" i="15"/>
  <c r="F22" i="15"/>
  <c r="B22" i="15"/>
  <c r="X21" i="15"/>
  <c r="Z21" i="15" s="1"/>
  <c r="L21" i="15"/>
  <c r="N21" i="15" s="1"/>
  <c r="J21" i="15"/>
  <c r="B21" i="15"/>
  <c r="T20" i="15"/>
  <c r="P20" i="15"/>
  <c r="X20" i="15" s="1"/>
  <c r="Z20" i="15" s="1"/>
  <c r="L20" i="15"/>
  <c r="N20" i="15" s="1"/>
  <c r="J20" i="15"/>
  <c r="H20" i="15"/>
  <c r="D20" i="15"/>
  <c r="Z18" i="15"/>
  <c r="X18" i="15"/>
  <c r="P18" i="15"/>
  <c r="N18" i="15"/>
  <c r="L18" i="15"/>
  <c r="D18" i="15"/>
  <c r="B18" i="15"/>
  <c r="Z17" i="15"/>
  <c r="P17" i="15"/>
  <c r="X17" i="15" s="1"/>
  <c r="N17" i="15"/>
  <c r="D17" i="15"/>
  <c r="L17" i="15" s="1"/>
  <c r="B17" i="15"/>
  <c r="Z16" i="15"/>
  <c r="P16" i="15"/>
  <c r="X16" i="15" s="1"/>
  <c r="N16" i="15"/>
  <c r="D16" i="15"/>
  <c r="L16" i="15" s="1"/>
  <c r="B16" i="15"/>
  <c r="Z15" i="15"/>
  <c r="P15" i="15"/>
  <c r="X15" i="15" s="1"/>
  <c r="N15" i="15"/>
  <c r="L15" i="15"/>
  <c r="D15" i="15"/>
  <c r="B15" i="15"/>
  <c r="P14" i="15"/>
  <c r="X14" i="15" s="1"/>
  <c r="Z14" i="15" s="1"/>
  <c r="D14" i="15"/>
  <c r="L14" i="15" s="1"/>
  <c r="N14" i="15" s="1"/>
  <c r="B14" i="15"/>
  <c r="X13" i="15"/>
  <c r="Z13" i="15" s="1"/>
  <c r="P13" i="15"/>
  <c r="D13" i="15"/>
  <c r="L13" i="15" s="1"/>
  <c r="N13" i="15" s="1"/>
  <c r="B13" i="15"/>
  <c r="T12" i="15"/>
  <c r="H12" i="15"/>
  <c r="J152" i="15" s="1"/>
  <c r="D12" i="15"/>
  <c r="D4" i="15"/>
  <c r="B39" i="14"/>
  <c r="B38" i="14"/>
  <c r="T34" i="14"/>
  <c r="P34" i="14"/>
  <c r="H34" i="14"/>
  <c r="N34" i="14" s="1"/>
  <c r="D34" i="14"/>
  <c r="T33" i="14"/>
  <c r="Z33" i="14" s="1"/>
  <c r="P33" i="14"/>
  <c r="H33" i="14"/>
  <c r="N33" i="14" s="1"/>
  <c r="D33" i="14"/>
  <c r="T29" i="14"/>
  <c r="Z29" i="14" s="1"/>
  <c r="P29" i="14"/>
  <c r="H29" i="14"/>
  <c r="N29" i="14" s="1"/>
  <c r="D29" i="14"/>
  <c r="T25" i="14"/>
  <c r="Z25" i="14" s="1"/>
  <c r="P25" i="14"/>
  <c r="H25" i="14"/>
  <c r="N25" i="14" s="1"/>
  <c r="D25" i="14"/>
  <c r="B25" i="14"/>
  <c r="T24" i="14"/>
  <c r="Z24" i="14" s="1"/>
  <c r="P24" i="14"/>
  <c r="H24" i="14"/>
  <c r="N24" i="14" s="1"/>
  <c r="D24" i="14"/>
  <c r="T22" i="14"/>
  <c r="Z22" i="14" s="1"/>
  <c r="P22" i="14"/>
  <c r="H22" i="14"/>
  <c r="N22" i="14" s="1"/>
  <c r="D22" i="14"/>
  <c r="B22" i="14"/>
  <c r="T21" i="14"/>
  <c r="Z21" i="14" s="1"/>
  <c r="P21" i="14"/>
  <c r="H21" i="14"/>
  <c r="N21" i="14" s="1"/>
  <c r="D21" i="14"/>
  <c r="B21" i="14"/>
  <c r="T20" i="14"/>
  <c r="Z20" i="14" s="1"/>
  <c r="P20" i="14"/>
  <c r="H20" i="14"/>
  <c r="N20" i="14" s="1"/>
  <c r="D20" i="14"/>
  <c r="T16" i="14"/>
  <c r="Z16" i="14" s="1"/>
  <c r="P16" i="14"/>
  <c r="H16" i="14"/>
  <c r="N16" i="14" s="1"/>
  <c r="D16" i="14"/>
  <c r="B16" i="14"/>
  <c r="T15" i="14"/>
  <c r="Z15" i="14" s="1"/>
  <c r="P15" i="14"/>
  <c r="H15" i="14"/>
  <c r="N15" i="14" s="1"/>
  <c r="D15" i="14"/>
  <c r="T13" i="14"/>
  <c r="Z13" i="14" s="1"/>
  <c r="P13" i="14"/>
  <c r="H13" i="14"/>
  <c r="N13" i="14" s="1"/>
  <c r="D13" i="14"/>
  <c r="B13" i="14"/>
  <c r="T12" i="14"/>
  <c r="V20" i="14" s="1"/>
  <c r="P12" i="14"/>
  <c r="R34" i="14" s="1"/>
  <c r="H12" i="14"/>
  <c r="J24" i="14" s="1"/>
  <c r="D12" i="14"/>
  <c r="D5" i="14"/>
  <c r="D4" i="14"/>
  <c r="B39" i="13"/>
  <c r="B38" i="13"/>
  <c r="T34" i="13"/>
  <c r="Z34" i="13" s="1"/>
  <c r="P34" i="13"/>
  <c r="H34" i="13"/>
  <c r="N34" i="13" s="1"/>
  <c r="D34" i="13"/>
  <c r="T33" i="13"/>
  <c r="Z33" i="13" s="1"/>
  <c r="P33" i="13"/>
  <c r="H33" i="13"/>
  <c r="N33" i="13" s="1"/>
  <c r="D33" i="13"/>
  <c r="T29" i="13"/>
  <c r="Z29" i="13" s="1"/>
  <c r="P29" i="13"/>
  <c r="H29" i="13"/>
  <c r="N29" i="13" s="1"/>
  <c r="D29" i="13"/>
  <c r="T25" i="13"/>
  <c r="Z25" i="13" s="1"/>
  <c r="P25" i="13"/>
  <c r="H25" i="13"/>
  <c r="N25" i="13" s="1"/>
  <c r="D25" i="13"/>
  <c r="B25" i="13"/>
  <c r="T24" i="13"/>
  <c r="Z24" i="13" s="1"/>
  <c r="P24" i="13"/>
  <c r="H24" i="13"/>
  <c r="D24" i="13"/>
  <c r="T22" i="13"/>
  <c r="Z22" i="13" s="1"/>
  <c r="P22" i="13"/>
  <c r="H22" i="13"/>
  <c r="N22" i="13" s="1"/>
  <c r="D22" i="13"/>
  <c r="B22" i="13"/>
  <c r="T21" i="13"/>
  <c r="Z21" i="13" s="1"/>
  <c r="P21" i="13"/>
  <c r="H21" i="13"/>
  <c r="N21" i="13" s="1"/>
  <c r="D21" i="13"/>
  <c r="B21" i="13"/>
  <c r="T20" i="13"/>
  <c r="P20" i="13"/>
  <c r="H20" i="13"/>
  <c r="N20" i="13" s="1"/>
  <c r="D20" i="13"/>
  <c r="T16" i="13"/>
  <c r="P16" i="13"/>
  <c r="H16" i="13"/>
  <c r="N16" i="13" s="1"/>
  <c r="D16" i="13"/>
  <c r="B16" i="13"/>
  <c r="T15" i="13"/>
  <c r="P15" i="13"/>
  <c r="H15" i="13"/>
  <c r="N15" i="13" s="1"/>
  <c r="D15" i="13"/>
  <c r="T13" i="13"/>
  <c r="Z13" i="13" s="1"/>
  <c r="P13" i="13"/>
  <c r="H13" i="13"/>
  <c r="N13" i="13" s="1"/>
  <c r="D13" i="13"/>
  <c r="B13" i="13"/>
  <c r="T12" i="13"/>
  <c r="V24" i="13" s="1"/>
  <c r="P12" i="13"/>
  <c r="R36" i="13" s="1"/>
  <c r="H12" i="13"/>
  <c r="J20" i="13" s="1"/>
  <c r="D12" i="13"/>
  <c r="D5" i="13"/>
  <c r="D4" i="13"/>
  <c r="Z159" i="12"/>
  <c r="X159" i="12"/>
  <c r="N159" i="12"/>
  <c r="L159" i="12"/>
  <c r="Z155" i="12"/>
  <c r="X155" i="12"/>
  <c r="P155" i="12"/>
  <c r="N155" i="12"/>
  <c r="D155" i="12"/>
  <c r="L155" i="12" s="1"/>
  <c r="B155" i="12"/>
  <c r="Z154" i="12"/>
  <c r="P154" i="12"/>
  <c r="X154" i="12" s="1"/>
  <c r="N154" i="12"/>
  <c r="L154" i="12"/>
  <c r="D154" i="12"/>
  <c r="B154" i="12"/>
  <c r="Z153" i="12"/>
  <c r="X153" i="12"/>
  <c r="P153" i="12"/>
  <c r="N153" i="12"/>
  <c r="D153" i="12"/>
  <c r="D150" i="12" s="1"/>
  <c r="B153" i="12"/>
  <c r="X152" i="12"/>
  <c r="Z152" i="12" s="1"/>
  <c r="P152" i="12"/>
  <c r="L152" i="12"/>
  <c r="N152" i="12" s="1"/>
  <c r="D152" i="12"/>
  <c r="B152" i="12"/>
  <c r="P151" i="12"/>
  <c r="L151" i="12"/>
  <c r="N151" i="12" s="1"/>
  <c r="D151" i="12"/>
  <c r="B151" i="12"/>
  <c r="T150" i="12"/>
  <c r="H150" i="12"/>
  <c r="Z148" i="12"/>
  <c r="X148" i="12"/>
  <c r="L148" i="12"/>
  <c r="N148" i="12" s="1"/>
  <c r="B148" i="12"/>
  <c r="T147" i="12"/>
  <c r="Z147" i="12" s="1"/>
  <c r="P147" i="12"/>
  <c r="X147" i="12" s="1"/>
  <c r="L147" i="12"/>
  <c r="N147" i="12" s="1"/>
  <c r="H147" i="12"/>
  <c r="D147" i="12"/>
  <c r="B147" i="12"/>
  <c r="X146" i="12"/>
  <c r="Z146" i="12" s="1"/>
  <c r="L146" i="12"/>
  <c r="N146" i="12" s="1"/>
  <c r="B146" i="12"/>
  <c r="X145" i="12"/>
  <c r="Z145" i="12" s="1"/>
  <c r="L145" i="12"/>
  <c r="N145" i="12" s="1"/>
  <c r="B145" i="12"/>
  <c r="Z144" i="12"/>
  <c r="X144" i="12"/>
  <c r="L144" i="12"/>
  <c r="N144" i="12" s="1"/>
  <c r="B144" i="12"/>
  <c r="T143" i="12"/>
  <c r="Z143" i="12" s="1"/>
  <c r="P143" i="12"/>
  <c r="X143" i="12" s="1"/>
  <c r="L143" i="12"/>
  <c r="N143" i="12" s="1"/>
  <c r="H143" i="12"/>
  <c r="D143" i="12"/>
  <c r="B143" i="12"/>
  <c r="X142" i="12"/>
  <c r="Z142" i="12" s="1"/>
  <c r="N142" i="12"/>
  <c r="L142" i="12"/>
  <c r="B142" i="12"/>
  <c r="X141" i="12"/>
  <c r="Z141" i="12" s="1"/>
  <c r="T141" i="12"/>
  <c r="P141" i="12"/>
  <c r="N141" i="12"/>
  <c r="H141" i="12"/>
  <c r="L141" i="12" s="1"/>
  <c r="D141" i="12"/>
  <c r="B141" i="12"/>
  <c r="X140" i="12"/>
  <c r="Z140" i="12" s="1"/>
  <c r="N140" i="12"/>
  <c r="L140" i="12"/>
  <c r="B140" i="12"/>
  <c r="Z139" i="12"/>
  <c r="X139" i="12"/>
  <c r="L139" i="12"/>
  <c r="N139" i="12" s="1"/>
  <c r="B139" i="12"/>
  <c r="X138" i="12"/>
  <c r="Z138" i="12" s="1"/>
  <c r="T138" i="12"/>
  <c r="P138" i="12"/>
  <c r="L138" i="12"/>
  <c r="N138" i="12" s="1"/>
  <c r="H138" i="12"/>
  <c r="D138" i="12"/>
  <c r="B138" i="12"/>
  <c r="X137" i="12"/>
  <c r="Z137" i="12" s="1"/>
  <c r="L137" i="12"/>
  <c r="N137" i="12" s="1"/>
  <c r="B137" i="12"/>
  <c r="X136" i="12"/>
  <c r="Z136" i="12" s="1"/>
  <c r="N136" i="12"/>
  <c r="L136" i="12"/>
  <c r="B136" i="12"/>
  <c r="Z135" i="12"/>
  <c r="X135" i="12"/>
  <c r="L135" i="12"/>
  <c r="N135" i="12" s="1"/>
  <c r="B135" i="12"/>
  <c r="X134" i="12"/>
  <c r="Z134" i="12" s="1"/>
  <c r="L134" i="12"/>
  <c r="N134" i="12" s="1"/>
  <c r="B134" i="12"/>
  <c r="X133" i="12"/>
  <c r="Z133" i="12" s="1"/>
  <c r="L133" i="12"/>
  <c r="N133" i="12" s="1"/>
  <c r="B133" i="12"/>
  <c r="Z132" i="12"/>
  <c r="X132" i="12"/>
  <c r="L132" i="12"/>
  <c r="N132" i="12" s="1"/>
  <c r="B132" i="12"/>
  <c r="X131" i="12"/>
  <c r="Z131" i="12" s="1"/>
  <c r="N131" i="12"/>
  <c r="L131" i="12"/>
  <c r="B131" i="12"/>
  <c r="T130" i="12"/>
  <c r="P130" i="12"/>
  <c r="H130" i="12"/>
  <c r="D130" i="12"/>
  <c r="L130" i="12" s="1"/>
  <c r="N130" i="12" s="1"/>
  <c r="B130" i="12"/>
  <c r="X129" i="12"/>
  <c r="Z129" i="12" s="1"/>
  <c r="L129" i="12"/>
  <c r="N129" i="12" s="1"/>
  <c r="J129" i="12"/>
  <c r="B129" i="12"/>
  <c r="Z128" i="12"/>
  <c r="X128" i="12"/>
  <c r="L128" i="12"/>
  <c r="N128" i="12" s="1"/>
  <c r="B128" i="12"/>
  <c r="T127" i="12"/>
  <c r="P127" i="12"/>
  <c r="X127" i="12" s="1"/>
  <c r="L127" i="12"/>
  <c r="N127" i="12" s="1"/>
  <c r="H127" i="12"/>
  <c r="D127" i="12"/>
  <c r="B127" i="12"/>
  <c r="X126" i="12"/>
  <c r="Z126" i="12" s="1"/>
  <c r="L126" i="12"/>
  <c r="N126" i="12" s="1"/>
  <c r="B126" i="12"/>
  <c r="Z125" i="12"/>
  <c r="X125" i="12"/>
  <c r="N125" i="12"/>
  <c r="L125" i="12"/>
  <c r="B125" i="12"/>
  <c r="Z124" i="12"/>
  <c r="X124" i="12"/>
  <c r="L124" i="12"/>
  <c r="N124" i="12" s="1"/>
  <c r="B124" i="12"/>
  <c r="Z123" i="12"/>
  <c r="X123" i="12"/>
  <c r="N123" i="12"/>
  <c r="L123" i="12"/>
  <c r="B123" i="12"/>
  <c r="T122" i="12"/>
  <c r="P122" i="12"/>
  <c r="H122" i="12"/>
  <c r="D122" i="12"/>
  <c r="L122" i="12" s="1"/>
  <c r="N122" i="12" s="1"/>
  <c r="B122" i="12"/>
  <c r="X121" i="12"/>
  <c r="Z121" i="12" s="1"/>
  <c r="L121" i="12"/>
  <c r="N121" i="12" s="1"/>
  <c r="B121" i="12"/>
  <c r="Z120" i="12"/>
  <c r="X120" i="12"/>
  <c r="N120" i="12"/>
  <c r="L120" i="12"/>
  <c r="B120" i="12"/>
  <c r="Z119" i="12"/>
  <c r="X119" i="12"/>
  <c r="N119" i="12"/>
  <c r="L119" i="12"/>
  <c r="B119" i="12"/>
  <c r="X118" i="12"/>
  <c r="Z118" i="12" s="1"/>
  <c r="L118" i="12"/>
  <c r="N118" i="12" s="1"/>
  <c r="B118" i="12"/>
  <c r="T117" i="12"/>
  <c r="Z117" i="12" s="1"/>
  <c r="P117" i="12"/>
  <c r="X117" i="12" s="1"/>
  <c r="H117" i="12"/>
  <c r="D117" i="12"/>
  <c r="L117" i="12" s="1"/>
  <c r="B117" i="12"/>
  <c r="Z116" i="12"/>
  <c r="X116" i="12"/>
  <c r="L116" i="12"/>
  <c r="N116" i="12" s="1"/>
  <c r="B116" i="12"/>
  <c r="Z115" i="12"/>
  <c r="X115" i="12"/>
  <c r="N115" i="12"/>
  <c r="L115" i="12"/>
  <c r="B115" i="12"/>
  <c r="X114" i="12"/>
  <c r="Z114" i="12" s="1"/>
  <c r="L114" i="12"/>
  <c r="N114" i="12" s="1"/>
  <c r="B114" i="12"/>
  <c r="X113" i="12"/>
  <c r="Z113" i="12" s="1"/>
  <c r="L113" i="12"/>
  <c r="N113" i="12" s="1"/>
  <c r="B113" i="12"/>
  <c r="X112" i="12"/>
  <c r="Z112" i="12" s="1"/>
  <c r="T112" i="12"/>
  <c r="P112" i="12"/>
  <c r="H112" i="12"/>
  <c r="D112" i="12"/>
  <c r="L112" i="12" s="1"/>
  <c r="B112" i="12"/>
  <c r="Z111" i="12"/>
  <c r="X111" i="12"/>
  <c r="N111" i="12"/>
  <c r="L111" i="12"/>
  <c r="B111" i="12"/>
  <c r="T110" i="12"/>
  <c r="P110" i="12"/>
  <c r="X110" i="12" s="1"/>
  <c r="H110" i="12"/>
  <c r="D110" i="12"/>
  <c r="L110" i="12" s="1"/>
  <c r="N110" i="12" s="1"/>
  <c r="B110" i="12"/>
  <c r="X109" i="12"/>
  <c r="Z109" i="12" s="1"/>
  <c r="N109" i="12"/>
  <c r="L109" i="12"/>
  <c r="B109" i="12"/>
  <c r="T108" i="12"/>
  <c r="P108" i="12"/>
  <c r="X108" i="12" s="1"/>
  <c r="Z108" i="12" s="1"/>
  <c r="N108" i="12"/>
  <c r="L108" i="12"/>
  <c r="H108" i="12"/>
  <c r="D108" i="12"/>
  <c r="B108" i="12"/>
  <c r="Z107" i="12"/>
  <c r="X107" i="12"/>
  <c r="N107" i="12"/>
  <c r="L107" i="12"/>
  <c r="B107" i="12"/>
  <c r="X106" i="12"/>
  <c r="T106" i="12"/>
  <c r="Z106" i="12" s="1"/>
  <c r="P106" i="12"/>
  <c r="L106" i="12"/>
  <c r="N106" i="12" s="1"/>
  <c r="H106" i="12"/>
  <c r="D106" i="12"/>
  <c r="B106" i="12"/>
  <c r="X105" i="12"/>
  <c r="Z105" i="12" s="1"/>
  <c r="V105" i="12"/>
  <c r="L105" i="12"/>
  <c r="N105" i="12" s="1"/>
  <c r="B105" i="12"/>
  <c r="X104" i="12"/>
  <c r="Z104" i="12" s="1"/>
  <c r="T104" i="12"/>
  <c r="P104" i="12"/>
  <c r="H104" i="12"/>
  <c r="D104" i="12"/>
  <c r="B104" i="12"/>
  <c r="Z103" i="12"/>
  <c r="X103" i="12"/>
  <c r="N103" i="12"/>
  <c r="L103" i="12"/>
  <c r="B103" i="12"/>
  <c r="T102" i="12"/>
  <c r="P102" i="12"/>
  <c r="N102" i="12"/>
  <c r="H102" i="12"/>
  <c r="D102" i="12"/>
  <c r="L102" i="12" s="1"/>
  <c r="B102" i="12"/>
  <c r="X101" i="12"/>
  <c r="Z101" i="12" s="1"/>
  <c r="L101" i="12"/>
  <c r="N101" i="12" s="1"/>
  <c r="B101" i="12"/>
  <c r="Z100" i="12"/>
  <c r="X100" i="12"/>
  <c r="N100" i="12"/>
  <c r="L100" i="12"/>
  <c r="B100" i="12"/>
  <c r="T99" i="12"/>
  <c r="Z99" i="12" s="1"/>
  <c r="P99" i="12"/>
  <c r="X99" i="12" s="1"/>
  <c r="L99" i="12"/>
  <c r="N99" i="12" s="1"/>
  <c r="H99" i="12"/>
  <c r="D99" i="12"/>
  <c r="B99" i="12"/>
  <c r="X98" i="12"/>
  <c r="Z98" i="12" s="1"/>
  <c r="L98" i="12"/>
  <c r="N98" i="12" s="1"/>
  <c r="B98" i="12"/>
  <c r="X97" i="12"/>
  <c r="Z97" i="12" s="1"/>
  <c r="L97" i="12"/>
  <c r="N97" i="12" s="1"/>
  <c r="B97" i="12"/>
  <c r="Z96" i="12"/>
  <c r="T96" i="12"/>
  <c r="P96" i="12"/>
  <c r="X96" i="12" s="1"/>
  <c r="L96" i="12"/>
  <c r="N96" i="12" s="1"/>
  <c r="H96" i="12"/>
  <c r="D96" i="12"/>
  <c r="B96" i="12"/>
  <c r="Z95" i="12"/>
  <c r="X95" i="12"/>
  <c r="N95" i="12"/>
  <c r="L95" i="12"/>
  <c r="B95" i="12"/>
  <c r="X94" i="12"/>
  <c r="Z94" i="12" s="1"/>
  <c r="T94" i="12"/>
  <c r="P94" i="12"/>
  <c r="L94" i="12"/>
  <c r="N94" i="12" s="1"/>
  <c r="H94" i="12"/>
  <c r="D94" i="12"/>
  <c r="B94" i="12"/>
  <c r="X93" i="12"/>
  <c r="Z93" i="12" s="1"/>
  <c r="L93" i="12"/>
  <c r="N93" i="12" s="1"/>
  <c r="B93" i="12"/>
  <c r="X92" i="12"/>
  <c r="Z92" i="12" s="1"/>
  <c r="T92" i="12"/>
  <c r="P92" i="12"/>
  <c r="H92" i="12"/>
  <c r="D92" i="12"/>
  <c r="B92" i="12"/>
  <c r="Z91" i="12"/>
  <c r="X91" i="12"/>
  <c r="N91" i="12"/>
  <c r="L91" i="12"/>
  <c r="B91" i="12"/>
  <c r="T90" i="12"/>
  <c r="P90" i="12"/>
  <c r="H90" i="12"/>
  <c r="D90" i="12"/>
  <c r="L90" i="12" s="1"/>
  <c r="N90" i="12" s="1"/>
  <c r="B90" i="12"/>
  <c r="Z89" i="12"/>
  <c r="X89" i="12"/>
  <c r="N89" i="12"/>
  <c r="L89" i="12"/>
  <c r="B89" i="12"/>
  <c r="Z88" i="12"/>
  <c r="X88" i="12"/>
  <c r="N88" i="12"/>
  <c r="L88" i="12"/>
  <c r="B88" i="12"/>
  <c r="T87" i="12"/>
  <c r="Z87" i="12" s="1"/>
  <c r="P87" i="12"/>
  <c r="X87" i="12" s="1"/>
  <c r="N87" i="12"/>
  <c r="L87" i="12"/>
  <c r="H87" i="12"/>
  <c r="D87" i="12"/>
  <c r="B87" i="12"/>
  <c r="X86" i="12"/>
  <c r="Z86" i="12" s="1"/>
  <c r="L86" i="12"/>
  <c r="N86" i="12" s="1"/>
  <c r="B86" i="12"/>
  <c r="Z85" i="12"/>
  <c r="X85" i="12"/>
  <c r="N85" i="12"/>
  <c r="L85" i="12"/>
  <c r="B85" i="12"/>
  <c r="Z84" i="12"/>
  <c r="T84" i="12"/>
  <c r="P84" i="12"/>
  <c r="X84" i="12" s="1"/>
  <c r="L84" i="12"/>
  <c r="N84" i="12" s="1"/>
  <c r="H84" i="12"/>
  <c r="D84" i="12"/>
  <c r="B84" i="12"/>
  <c r="Z83" i="12"/>
  <c r="X83" i="12"/>
  <c r="N83" i="12"/>
  <c r="L83" i="12"/>
  <c r="B83" i="12"/>
  <c r="X82" i="12"/>
  <c r="Z82" i="12" s="1"/>
  <c r="V82" i="12"/>
  <c r="T82" i="12"/>
  <c r="P82" i="12"/>
  <c r="L82" i="12"/>
  <c r="H82" i="12"/>
  <c r="N82" i="12" s="1"/>
  <c r="D82" i="12"/>
  <c r="B82" i="12"/>
  <c r="X81" i="12"/>
  <c r="Z81" i="12" s="1"/>
  <c r="L81" i="12"/>
  <c r="N81" i="12" s="1"/>
  <c r="B81" i="12"/>
  <c r="X80" i="12"/>
  <c r="T80" i="12"/>
  <c r="P80" i="12"/>
  <c r="H80" i="12"/>
  <c r="D80" i="12"/>
  <c r="B80" i="12"/>
  <c r="Z79" i="12"/>
  <c r="X79" i="12"/>
  <c r="N79" i="12"/>
  <c r="L79" i="12"/>
  <c r="B79" i="12"/>
  <c r="T78" i="12"/>
  <c r="P78" i="12"/>
  <c r="N78" i="12"/>
  <c r="H78" i="12"/>
  <c r="D78" i="12"/>
  <c r="L78" i="12" s="1"/>
  <c r="B78" i="12"/>
  <c r="Z77" i="12"/>
  <c r="X77" i="12"/>
  <c r="N77" i="12"/>
  <c r="L77" i="12"/>
  <c r="B77" i="12"/>
  <c r="Z76" i="12"/>
  <c r="X76" i="12"/>
  <c r="N76" i="12"/>
  <c r="L76" i="12"/>
  <c r="B76" i="12"/>
  <c r="Z75" i="12"/>
  <c r="X75" i="12"/>
  <c r="N75" i="12"/>
  <c r="L75" i="12"/>
  <c r="B75" i="12"/>
  <c r="X74" i="12"/>
  <c r="Z74" i="12" s="1"/>
  <c r="L74" i="12"/>
  <c r="N74" i="12" s="1"/>
  <c r="B74" i="12"/>
  <c r="Z73" i="12"/>
  <c r="X73" i="12"/>
  <c r="N73" i="12"/>
  <c r="L73" i="12"/>
  <c r="B73" i="12"/>
  <c r="X72" i="12"/>
  <c r="Z72" i="12" s="1"/>
  <c r="N72" i="12"/>
  <c r="L72" i="12"/>
  <c r="B72" i="12"/>
  <c r="Z71" i="12"/>
  <c r="X71" i="12"/>
  <c r="N71" i="12"/>
  <c r="L71" i="12"/>
  <c r="B71" i="12"/>
  <c r="Z70" i="12"/>
  <c r="X70" i="12"/>
  <c r="N70" i="12"/>
  <c r="L70" i="12"/>
  <c r="B70" i="12"/>
  <c r="X69" i="12"/>
  <c r="Z69" i="12" s="1"/>
  <c r="L69" i="12"/>
  <c r="N69" i="12" s="1"/>
  <c r="B69" i="12"/>
  <c r="Z68" i="12"/>
  <c r="X68" i="12"/>
  <c r="N68" i="12"/>
  <c r="L68" i="12"/>
  <c r="B68" i="12"/>
  <c r="T67" i="12"/>
  <c r="P67" i="12"/>
  <c r="N67" i="12"/>
  <c r="L67" i="12"/>
  <c r="H67" i="12"/>
  <c r="D67" i="12"/>
  <c r="B67" i="12"/>
  <c r="X66" i="12"/>
  <c r="Z66" i="12" s="1"/>
  <c r="L66" i="12"/>
  <c r="N66" i="12" s="1"/>
  <c r="J66" i="12"/>
  <c r="B66" i="12"/>
  <c r="X65" i="12"/>
  <c r="Z65" i="12" s="1"/>
  <c r="L65" i="12"/>
  <c r="N65" i="12" s="1"/>
  <c r="B65" i="12"/>
  <c r="Z64" i="12"/>
  <c r="X64" i="12"/>
  <c r="L64" i="12"/>
  <c r="N64" i="12" s="1"/>
  <c r="B64" i="12"/>
  <c r="Z63" i="12"/>
  <c r="X63" i="12"/>
  <c r="N63" i="12"/>
  <c r="L63" i="12"/>
  <c r="B63" i="12"/>
  <c r="Z62" i="12"/>
  <c r="X62" i="12"/>
  <c r="V62" i="12"/>
  <c r="N62" i="12"/>
  <c r="L62" i="12"/>
  <c r="B62" i="12"/>
  <c r="X61" i="12"/>
  <c r="Z61" i="12" s="1"/>
  <c r="N61" i="12"/>
  <c r="L61" i="12"/>
  <c r="B61" i="12"/>
  <c r="X60" i="12"/>
  <c r="Z60" i="12" s="1"/>
  <c r="N60" i="12"/>
  <c r="L60" i="12"/>
  <c r="B60" i="12"/>
  <c r="Z59" i="12"/>
  <c r="X59" i="12"/>
  <c r="N59" i="12"/>
  <c r="L59" i="12"/>
  <c r="B59" i="12"/>
  <c r="X58" i="12"/>
  <c r="Z58" i="12" s="1"/>
  <c r="L58" i="12"/>
  <c r="N58" i="12" s="1"/>
  <c r="B58" i="12"/>
  <c r="X57" i="12"/>
  <c r="Z57" i="12" s="1"/>
  <c r="L57" i="12"/>
  <c r="N57" i="12" s="1"/>
  <c r="B57" i="12"/>
  <c r="Z56" i="12"/>
  <c r="T56" i="12"/>
  <c r="P56" i="12"/>
  <c r="X56" i="12" s="1"/>
  <c r="L56" i="12"/>
  <c r="H56" i="12"/>
  <c r="D56" i="12"/>
  <c r="B56" i="12"/>
  <c r="T55" i="12"/>
  <c r="P55" i="12"/>
  <c r="X55" i="12" s="1"/>
  <c r="Z55" i="12" s="1"/>
  <c r="H55" i="12"/>
  <c r="D55" i="12"/>
  <c r="L55" i="12" s="1"/>
  <c r="Z51" i="12"/>
  <c r="X51" i="12"/>
  <c r="N51" i="12"/>
  <c r="L51" i="12"/>
  <c r="B51" i="12"/>
  <c r="Z50" i="12"/>
  <c r="X50" i="12"/>
  <c r="N50" i="12"/>
  <c r="L50" i="12"/>
  <c r="J50" i="12"/>
  <c r="B50" i="12"/>
  <c r="Z49" i="12"/>
  <c r="X49" i="12"/>
  <c r="N49" i="12"/>
  <c r="L49" i="12"/>
  <c r="B49" i="12"/>
  <c r="Z48" i="12"/>
  <c r="X48" i="12"/>
  <c r="N48" i="12"/>
  <c r="L48" i="12"/>
  <c r="B48" i="12"/>
  <c r="Z47" i="12"/>
  <c r="X47" i="12"/>
  <c r="N47" i="12"/>
  <c r="L47" i="12"/>
  <c r="B47" i="12"/>
  <c r="Z46" i="12"/>
  <c r="X46" i="12"/>
  <c r="N46" i="12"/>
  <c r="L46" i="12"/>
  <c r="J46" i="12"/>
  <c r="B46" i="12"/>
  <c r="Z45" i="12"/>
  <c r="X45" i="12"/>
  <c r="N45" i="12"/>
  <c r="L45" i="12"/>
  <c r="B45" i="12"/>
  <c r="Z44" i="12"/>
  <c r="X44" i="12"/>
  <c r="N44" i="12"/>
  <c r="L44" i="12"/>
  <c r="J44" i="12"/>
  <c r="B44" i="12"/>
  <c r="Z43" i="12"/>
  <c r="X43" i="12"/>
  <c r="N43" i="12"/>
  <c r="L43" i="12"/>
  <c r="B43" i="12"/>
  <c r="Z42" i="12"/>
  <c r="X42" i="12"/>
  <c r="N42" i="12"/>
  <c r="L42" i="12"/>
  <c r="B42" i="12"/>
  <c r="Z41" i="12"/>
  <c r="X41" i="12"/>
  <c r="N41" i="12"/>
  <c r="L41" i="12"/>
  <c r="J41" i="12"/>
  <c r="B41" i="12"/>
  <c r="Z40" i="12"/>
  <c r="X40" i="12"/>
  <c r="N40" i="12"/>
  <c r="L40" i="12"/>
  <c r="J40" i="12"/>
  <c r="B40" i="12"/>
  <c r="Z39" i="12"/>
  <c r="X39" i="12"/>
  <c r="N39" i="12"/>
  <c r="L39" i="12"/>
  <c r="B39" i="12"/>
  <c r="Z38" i="12"/>
  <c r="X38" i="12"/>
  <c r="N38" i="12"/>
  <c r="L38" i="12"/>
  <c r="B38" i="12"/>
  <c r="Z37" i="12"/>
  <c r="X37" i="12"/>
  <c r="V37" i="12"/>
  <c r="N37" i="12"/>
  <c r="L37" i="12"/>
  <c r="J37" i="12"/>
  <c r="B37" i="12"/>
  <c r="Z36" i="12"/>
  <c r="X36" i="12"/>
  <c r="N36" i="12"/>
  <c r="L36" i="12"/>
  <c r="B36" i="12"/>
  <c r="Z35" i="12"/>
  <c r="X35" i="12"/>
  <c r="N35" i="12"/>
  <c r="L35" i="12"/>
  <c r="B35" i="12"/>
  <c r="Z34" i="12"/>
  <c r="X34" i="12"/>
  <c r="N34" i="12"/>
  <c r="L34" i="12"/>
  <c r="B34" i="12"/>
  <c r="Z33" i="12"/>
  <c r="X33" i="12"/>
  <c r="V33" i="12"/>
  <c r="N33" i="12"/>
  <c r="L33" i="12"/>
  <c r="J33" i="12"/>
  <c r="B33" i="12"/>
  <c r="Z32" i="12"/>
  <c r="X32" i="12"/>
  <c r="N32" i="12"/>
  <c r="L32" i="12"/>
  <c r="J32" i="12"/>
  <c r="B32" i="12"/>
  <c r="Z31" i="12"/>
  <c r="X31" i="12"/>
  <c r="N31" i="12"/>
  <c r="L31" i="12"/>
  <c r="B31" i="12"/>
  <c r="Z30" i="12"/>
  <c r="X30" i="12"/>
  <c r="N30" i="12"/>
  <c r="L30" i="12"/>
  <c r="B30" i="12"/>
  <c r="Z29" i="12"/>
  <c r="X29" i="12"/>
  <c r="V29" i="12"/>
  <c r="N29" i="12"/>
  <c r="L29" i="12"/>
  <c r="J29" i="12"/>
  <c r="B29" i="12"/>
  <c r="Z28" i="12"/>
  <c r="X28" i="12"/>
  <c r="V28" i="12"/>
  <c r="N28" i="12"/>
  <c r="L28" i="12"/>
  <c r="J28" i="12"/>
  <c r="B28" i="12"/>
  <c r="Z27" i="12"/>
  <c r="X27" i="12"/>
  <c r="N27" i="12"/>
  <c r="L27" i="12"/>
  <c r="B27" i="12"/>
  <c r="Z26" i="12"/>
  <c r="X26" i="12"/>
  <c r="N26" i="12"/>
  <c r="L26" i="12"/>
  <c r="B26" i="12"/>
  <c r="Z25" i="12"/>
  <c r="X25" i="12"/>
  <c r="V25" i="12"/>
  <c r="N25" i="12"/>
  <c r="L25" i="12"/>
  <c r="J25" i="12"/>
  <c r="B25" i="12"/>
  <c r="Z24" i="12"/>
  <c r="X24" i="12"/>
  <c r="N24" i="12"/>
  <c r="L24" i="12"/>
  <c r="J24" i="12"/>
  <c r="B24" i="12"/>
  <c r="Z23" i="12"/>
  <c r="X23" i="12"/>
  <c r="N23" i="12"/>
  <c r="L23" i="12"/>
  <c r="B23" i="12"/>
  <c r="T22" i="12"/>
  <c r="P22" i="12"/>
  <c r="X22" i="12" s="1"/>
  <c r="J22" i="12"/>
  <c r="H22" i="12"/>
  <c r="D22" i="12"/>
  <c r="L22" i="12" s="1"/>
  <c r="N22" i="12" s="1"/>
  <c r="Z20" i="12"/>
  <c r="P20" i="12"/>
  <c r="X20" i="12" s="1"/>
  <c r="N20" i="12"/>
  <c r="L20" i="12"/>
  <c r="D20" i="12"/>
  <c r="B20" i="12"/>
  <c r="Z19" i="12"/>
  <c r="X19" i="12"/>
  <c r="P19" i="12"/>
  <c r="N19" i="12"/>
  <c r="L19" i="12"/>
  <c r="D19" i="12"/>
  <c r="B19" i="12"/>
  <c r="Z18" i="12"/>
  <c r="X18" i="12"/>
  <c r="P18" i="12"/>
  <c r="N18" i="12"/>
  <c r="D18" i="12"/>
  <c r="L18" i="12" s="1"/>
  <c r="B18" i="12"/>
  <c r="Z17" i="12"/>
  <c r="P17" i="12"/>
  <c r="P12" i="12" s="1"/>
  <c r="N17" i="12"/>
  <c r="D17" i="12"/>
  <c r="L17" i="12" s="1"/>
  <c r="B17" i="12"/>
  <c r="Z16" i="12"/>
  <c r="P16" i="12"/>
  <c r="X16" i="12" s="1"/>
  <c r="N16" i="12"/>
  <c r="L16" i="12"/>
  <c r="D16" i="12"/>
  <c r="B16" i="12"/>
  <c r="Z15" i="12"/>
  <c r="X15" i="12"/>
  <c r="P15" i="12"/>
  <c r="L15" i="12"/>
  <c r="N15" i="12" s="1"/>
  <c r="D15" i="12"/>
  <c r="B15" i="12"/>
  <c r="Z14" i="12"/>
  <c r="X14" i="12"/>
  <c r="P14" i="12"/>
  <c r="N14" i="12"/>
  <c r="D14" i="12"/>
  <c r="L14" i="12" s="1"/>
  <c r="B14" i="12"/>
  <c r="P13" i="12"/>
  <c r="X13" i="12" s="1"/>
  <c r="Z13" i="12" s="1"/>
  <c r="D13" i="12"/>
  <c r="L13" i="12" s="1"/>
  <c r="N13" i="12" s="1"/>
  <c r="B13" i="12"/>
  <c r="T12" i="12"/>
  <c r="V113" i="12" s="1"/>
  <c r="H12" i="12"/>
  <c r="D12" i="12"/>
  <c r="D4" i="12"/>
  <c r="B39" i="11"/>
  <c r="B38" i="11"/>
  <c r="T34" i="11"/>
  <c r="Z34" i="11" s="1"/>
  <c r="P34" i="11"/>
  <c r="H34" i="11"/>
  <c r="N34" i="11" s="1"/>
  <c r="D34" i="11"/>
  <c r="T33" i="11"/>
  <c r="Z33" i="11" s="1"/>
  <c r="P33" i="11"/>
  <c r="H33" i="11"/>
  <c r="N33" i="11" s="1"/>
  <c r="D33" i="11"/>
  <c r="T29" i="11"/>
  <c r="Z29" i="11" s="1"/>
  <c r="P29" i="11"/>
  <c r="H29" i="11"/>
  <c r="N29" i="11" s="1"/>
  <c r="D29" i="11"/>
  <c r="T25" i="11"/>
  <c r="Z25" i="11" s="1"/>
  <c r="P25" i="11"/>
  <c r="H25" i="11"/>
  <c r="N25" i="11" s="1"/>
  <c r="D25" i="11"/>
  <c r="B25" i="11"/>
  <c r="T24" i="11"/>
  <c r="Z24" i="11" s="1"/>
  <c r="P24" i="11"/>
  <c r="H24" i="11"/>
  <c r="N24" i="11" s="1"/>
  <c r="D24" i="11"/>
  <c r="T22" i="11"/>
  <c r="Z22" i="11" s="1"/>
  <c r="P22" i="11"/>
  <c r="H22" i="11"/>
  <c r="N22" i="11" s="1"/>
  <c r="D22" i="11"/>
  <c r="B22" i="11"/>
  <c r="T21" i="11"/>
  <c r="Z21" i="11" s="1"/>
  <c r="P21" i="11"/>
  <c r="H21" i="11"/>
  <c r="N21" i="11" s="1"/>
  <c r="D21" i="11"/>
  <c r="B21" i="11"/>
  <c r="T20" i="11"/>
  <c r="Z20" i="11" s="1"/>
  <c r="P20" i="11"/>
  <c r="H20" i="11"/>
  <c r="N20" i="11" s="1"/>
  <c r="D20" i="11"/>
  <c r="T16" i="11"/>
  <c r="Z16" i="11" s="1"/>
  <c r="P16" i="11"/>
  <c r="H16" i="11"/>
  <c r="N16" i="11" s="1"/>
  <c r="D16" i="11"/>
  <c r="B16" i="11"/>
  <c r="T15" i="11"/>
  <c r="Z15" i="11" s="1"/>
  <c r="P15" i="11"/>
  <c r="H15" i="11"/>
  <c r="N15" i="11" s="1"/>
  <c r="D15" i="11"/>
  <c r="T13" i="11"/>
  <c r="Z13" i="11" s="1"/>
  <c r="P13" i="11"/>
  <c r="H13" i="11"/>
  <c r="N13" i="11" s="1"/>
  <c r="D13" i="11"/>
  <c r="B13" i="11"/>
  <c r="T12" i="11"/>
  <c r="V34" i="11" s="1"/>
  <c r="P12" i="11"/>
  <c r="R22" i="11" s="1"/>
  <c r="H12" i="11"/>
  <c r="J21" i="11" s="1"/>
  <c r="D12" i="11"/>
  <c r="F20" i="11" s="1"/>
  <c r="D5" i="11"/>
  <c r="D4" i="11"/>
  <c r="B39" i="10"/>
  <c r="B38" i="10"/>
  <c r="T34" i="10"/>
  <c r="Z34" i="10" s="1"/>
  <c r="P34" i="10"/>
  <c r="H34" i="10"/>
  <c r="N34" i="10" s="1"/>
  <c r="D34" i="10"/>
  <c r="T33" i="10"/>
  <c r="Z33" i="10" s="1"/>
  <c r="P33" i="10"/>
  <c r="H33" i="10"/>
  <c r="N33" i="10" s="1"/>
  <c r="D33" i="10"/>
  <c r="T29" i="10"/>
  <c r="Z29" i="10" s="1"/>
  <c r="P29" i="10"/>
  <c r="H29" i="10"/>
  <c r="N29" i="10" s="1"/>
  <c r="D29" i="10"/>
  <c r="T25" i="10"/>
  <c r="Z25" i="10" s="1"/>
  <c r="P25" i="10"/>
  <c r="H25" i="10"/>
  <c r="N25" i="10" s="1"/>
  <c r="D25" i="10"/>
  <c r="B25" i="10"/>
  <c r="T24" i="10"/>
  <c r="Z24" i="10" s="1"/>
  <c r="P24" i="10"/>
  <c r="H24" i="10"/>
  <c r="N24" i="10" s="1"/>
  <c r="D24" i="10"/>
  <c r="T22" i="10"/>
  <c r="Z22" i="10" s="1"/>
  <c r="P22" i="10"/>
  <c r="H22" i="10"/>
  <c r="N22" i="10" s="1"/>
  <c r="D22" i="10"/>
  <c r="B22" i="10"/>
  <c r="T21" i="10"/>
  <c r="Z21" i="10" s="1"/>
  <c r="P21" i="10"/>
  <c r="H21" i="10"/>
  <c r="N21" i="10" s="1"/>
  <c r="D21" i="10"/>
  <c r="B21" i="10"/>
  <c r="T20" i="10"/>
  <c r="Z20" i="10" s="1"/>
  <c r="P20" i="10"/>
  <c r="H20" i="10"/>
  <c r="N20" i="10" s="1"/>
  <c r="D20" i="10"/>
  <c r="T16" i="10"/>
  <c r="Z16" i="10" s="1"/>
  <c r="P16" i="10"/>
  <c r="H16" i="10"/>
  <c r="N16" i="10" s="1"/>
  <c r="D16" i="10"/>
  <c r="B16" i="10"/>
  <c r="T15" i="10"/>
  <c r="Z15" i="10" s="1"/>
  <c r="P15" i="10"/>
  <c r="H15" i="10"/>
  <c r="N15" i="10" s="1"/>
  <c r="D15" i="10"/>
  <c r="T13" i="10"/>
  <c r="Z13" i="10" s="1"/>
  <c r="P13" i="10"/>
  <c r="H13" i="10"/>
  <c r="N13" i="10" s="1"/>
  <c r="D13" i="10"/>
  <c r="B13" i="10"/>
  <c r="T12" i="10"/>
  <c r="V20" i="10" s="1"/>
  <c r="P12" i="10"/>
  <c r="R22" i="10" s="1"/>
  <c r="H12" i="10"/>
  <c r="J34" i="10" s="1"/>
  <c r="D12" i="10"/>
  <c r="F20" i="10" s="1"/>
  <c r="D5" i="10"/>
  <c r="D4" i="10"/>
  <c r="R102" i="9"/>
  <c r="J99" i="9"/>
  <c r="Z97" i="9"/>
  <c r="X97" i="9"/>
  <c r="N97" i="9"/>
  <c r="L97" i="9"/>
  <c r="R95" i="9"/>
  <c r="Z93" i="9"/>
  <c r="X93" i="9"/>
  <c r="T93" i="9"/>
  <c r="P93" i="9"/>
  <c r="J93" i="9"/>
  <c r="H93" i="9"/>
  <c r="N93" i="9" s="1"/>
  <c r="D93" i="9"/>
  <c r="L93" i="9" s="1"/>
  <c r="Z91" i="9"/>
  <c r="X91" i="9"/>
  <c r="N91" i="9"/>
  <c r="L91" i="9"/>
  <c r="B91" i="9"/>
  <c r="T90" i="9"/>
  <c r="Z90" i="9" s="1"/>
  <c r="P90" i="9"/>
  <c r="X90" i="9" s="1"/>
  <c r="N90" i="9"/>
  <c r="H90" i="9"/>
  <c r="D90" i="9"/>
  <c r="L90" i="9" s="1"/>
  <c r="B90" i="9"/>
  <c r="X89" i="9"/>
  <c r="Z89" i="9" s="1"/>
  <c r="N89" i="9"/>
  <c r="L89" i="9"/>
  <c r="J89" i="9"/>
  <c r="B89" i="9"/>
  <c r="T88" i="9"/>
  <c r="P88" i="9"/>
  <c r="X88" i="9" s="1"/>
  <c r="Z88" i="9" s="1"/>
  <c r="H88" i="9"/>
  <c r="L88" i="9" s="1"/>
  <c r="N88" i="9" s="1"/>
  <c r="D88" i="9"/>
  <c r="B88" i="9"/>
  <c r="Z87" i="9"/>
  <c r="X87" i="9"/>
  <c r="N87" i="9"/>
  <c r="L87" i="9"/>
  <c r="B87" i="9"/>
  <c r="Z86" i="9"/>
  <c r="X86" i="9"/>
  <c r="N86" i="9"/>
  <c r="L86" i="9"/>
  <c r="B86" i="9"/>
  <c r="X85" i="9"/>
  <c r="Z85" i="9" s="1"/>
  <c r="T85" i="9"/>
  <c r="P85" i="9"/>
  <c r="N85" i="9"/>
  <c r="L85" i="9"/>
  <c r="H85" i="9"/>
  <c r="D85" i="9"/>
  <c r="B85" i="9"/>
  <c r="Z84" i="9"/>
  <c r="X84" i="9"/>
  <c r="N84" i="9"/>
  <c r="L84" i="9"/>
  <c r="B84" i="9"/>
  <c r="Z83" i="9"/>
  <c r="X83" i="9"/>
  <c r="N83" i="9"/>
  <c r="L83" i="9"/>
  <c r="B83" i="9"/>
  <c r="Z82" i="9"/>
  <c r="X82" i="9"/>
  <c r="N82" i="9"/>
  <c r="L82" i="9"/>
  <c r="B82" i="9"/>
  <c r="X81" i="9"/>
  <c r="Z81" i="9" s="1"/>
  <c r="L81" i="9"/>
  <c r="N81" i="9" s="1"/>
  <c r="J81" i="9"/>
  <c r="B81" i="9"/>
  <c r="Z80" i="9"/>
  <c r="X80" i="9"/>
  <c r="N80" i="9"/>
  <c r="L80" i="9"/>
  <c r="B80" i="9"/>
  <c r="Z79" i="9"/>
  <c r="X79" i="9"/>
  <c r="N79" i="9"/>
  <c r="L79" i="9"/>
  <c r="B79" i="9"/>
  <c r="T78" i="9"/>
  <c r="Z78" i="9" s="1"/>
  <c r="P78" i="9"/>
  <c r="X78" i="9" s="1"/>
  <c r="H78" i="9"/>
  <c r="D78" i="9"/>
  <c r="L78" i="9" s="1"/>
  <c r="N78" i="9" s="1"/>
  <c r="B78" i="9"/>
  <c r="X77" i="9"/>
  <c r="Z77" i="9" s="1"/>
  <c r="N77" i="9"/>
  <c r="L77" i="9"/>
  <c r="J77" i="9"/>
  <c r="B77" i="9"/>
  <c r="T76" i="9"/>
  <c r="P76" i="9"/>
  <c r="X76" i="9" s="1"/>
  <c r="Z76" i="9" s="1"/>
  <c r="H76" i="9"/>
  <c r="L76" i="9" s="1"/>
  <c r="N76" i="9" s="1"/>
  <c r="D76" i="9"/>
  <c r="B76" i="9"/>
  <c r="Z75" i="9"/>
  <c r="X75" i="9"/>
  <c r="N75" i="9"/>
  <c r="L75" i="9"/>
  <c r="B75" i="9"/>
  <c r="Z74" i="9"/>
  <c r="X74" i="9"/>
  <c r="N74" i="9"/>
  <c r="L74" i="9"/>
  <c r="B74" i="9"/>
  <c r="Z73" i="9"/>
  <c r="X73" i="9"/>
  <c r="T73" i="9"/>
  <c r="P73" i="9"/>
  <c r="N73" i="9"/>
  <c r="L73" i="9"/>
  <c r="H73" i="9"/>
  <c r="D73" i="9"/>
  <c r="B73" i="9"/>
  <c r="X72" i="9"/>
  <c r="Z72" i="9" s="1"/>
  <c r="L72" i="9"/>
  <c r="N72" i="9" s="1"/>
  <c r="B72" i="9"/>
  <c r="Z71" i="9"/>
  <c r="X71" i="9"/>
  <c r="N71" i="9"/>
  <c r="L71" i="9"/>
  <c r="B71" i="9"/>
  <c r="Z70" i="9"/>
  <c r="X70" i="9"/>
  <c r="N70" i="9"/>
  <c r="L70" i="9"/>
  <c r="B70" i="9"/>
  <c r="Z69" i="9"/>
  <c r="X69" i="9"/>
  <c r="L69" i="9"/>
  <c r="N69" i="9" s="1"/>
  <c r="J69" i="9"/>
  <c r="B69" i="9"/>
  <c r="T68" i="9"/>
  <c r="P68" i="9"/>
  <c r="X68" i="9" s="1"/>
  <c r="Z68" i="9" s="1"/>
  <c r="H68" i="9"/>
  <c r="L68" i="9" s="1"/>
  <c r="N68" i="9" s="1"/>
  <c r="D68" i="9"/>
  <c r="B68" i="9"/>
  <c r="Z67" i="9"/>
  <c r="X67" i="9"/>
  <c r="N67" i="9"/>
  <c r="L67" i="9"/>
  <c r="B67" i="9"/>
  <c r="Z66" i="9"/>
  <c r="X66" i="9"/>
  <c r="N66" i="9"/>
  <c r="L66" i="9"/>
  <c r="B66" i="9"/>
  <c r="Z65" i="9"/>
  <c r="X65" i="9"/>
  <c r="N65" i="9"/>
  <c r="L65" i="9"/>
  <c r="J65" i="9"/>
  <c r="B65" i="9"/>
  <c r="X64" i="9"/>
  <c r="Z64" i="9" s="1"/>
  <c r="L64" i="9"/>
  <c r="N64" i="9" s="1"/>
  <c r="B64" i="9"/>
  <c r="T63" i="9"/>
  <c r="R63" i="9"/>
  <c r="P63" i="9"/>
  <c r="X63" i="9" s="1"/>
  <c r="Z63" i="9" s="1"/>
  <c r="N63" i="9"/>
  <c r="L63" i="9"/>
  <c r="H63" i="9"/>
  <c r="D63" i="9"/>
  <c r="B63" i="9"/>
  <c r="Z62" i="9"/>
  <c r="X62" i="9"/>
  <c r="N62" i="9"/>
  <c r="L62" i="9"/>
  <c r="B62" i="9"/>
  <c r="Z61" i="9"/>
  <c r="X61" i="9"/>
  <c r="T61" i="9"/>
  <c r="P61" i="9"/>
  <c r="N61" i="9"/>
  <c r="L61" i="9"/>
  <c r="H61" i="9"/>
  <c r="D61" i="9"/>
  <c r="B61" i="9"/>
  <c r="X60" i="9"/>
  <c r="Z60" i="9" s="1"/>
  <c r="L60" i="9"/>
  <c r="N60" i="9" s="1"/>
  <c r="B60" i="9"/>
  <c r="Z59" i="9"/>
  <c r="X59" i="9"/>
  <c r="T59" i="9"/>
  <c r="P59" i="9"/>
  <c r="J59" i="9"/>
  <c r="H59" i="9"/>
  <c r="D59" i="9"/>
  <c r="L59" i="9" s="1"/>
  <c r="B59" i="9"/>
  <c r="Z58" i="9"/>
  <c r="X58" i="9"/>
  <c r="R58" i="9"/>
  <c r="N58" i="9"/>
  <c r="L58" i="9"/>
  <c r="B58" i="9"/>
  <c r="V57" i="9"/>
  <c r="T57" i="9"/>
  <c r="Z57" i="9" s="1"/>
  <c r="P57" i="9"/>
  <c r="X57" i="9" s="1"/>
  <c r="H57" i="9"/>
  <c r="D57" i="9"/>
  <c r="L57" i="9" s="1"/>
  <c r="N57" i="9" s="1"/>
  <c r="B57" i="9"/>
  <c r="X56" i="9"/>
  <c r="Z56" i="9" s="1"/>
  <c r="L56" i="9"/>
  <c r="N56" i="9" s="1"/>
  <c r="J56" i="9"/>
  <c r="B56" i="9"/>
  <c r="T55" i="9"/>
  <c r="R55" i="9"/>
  <c r="P55" i="9"/>
  <c r="X55" i="9" s="1"/>
  <c r="Z55" i="9" s="1"/>
  <c r="L55" i="9"/>
  <c r="N55" i="9" s="1"/>
  <c r="H55" i="9"/>
  <c r="D55" i="9"/>
  <c r="B55" i="9"/>
  <c r="Z54" i="9"/>
  <c r="X54" i="9"/>
  <c r="N54" i="9"/>
  <c r="L54" i="9"/>
  <c r="B54" i="9"/>
  <c r="Z53" i="9"/>
  <c r="X53" i="9"/>
  <c r="T53" i="9"/>
  <c r="P53" i="9"/>
  <c r="N53" i="9"/>
  <c r="L53" i="9"/>
  <c r="H53" i="9"/>
  <c r="D53" i="9"/>
  <c r="B53" i="9"/>
  <c r="X52" i="9"/>
  <c r="Z52" i="9" s="1"/>
  <c r="L52" i="9"/>
  <c r="N52" i="9" s="1"/>
  <c r="B52" i="9"/>
  <c r="Z51" i="9"/>
  <c r="X51" i="9"/>
  <c r="T51" i="9"/>
  <c r="P51" i="9"/>
  <c r="J51" i="9"/>
  <c r="H51" i="9"/>
  <c r="D51" i="9"/>
  <c r="L51" i="9" s="1"/>
  <c r="B51" i="9"/>
  <c r="Z50" i="9"/>
  <c r="X50" i="9"/>
  <c r="R50" i="9"/>
  <c r="N50" i="9"/>
  <c r="L50" i="9"/>
  <c r="B50" i="9"/>
  <c r="X49" i="9"/>
  <c r="Z49" i="9" s="1"/>
  <c r="V49" i="9"/>
  <c r="L49" i="9"/>
  <c r="N49" i="9" s="1"/>
  <c r="J49" i="9"/>
  <c r="B49" i="9"/>
  <c r="X48" i="9"/>
  <c r="T48" i="9"/>
  <c r="Z48" i="9" s="1"/>
  <c r="P48" i="9"/>
  <c r="H48" i="9"/>
  <c r="D48" i="9"/>
  <c r="L48" i="9" s="1"/>
  <c r="B48" i="9"/>
  <c r="Z47" i="9"/>
  <c r="X47" i="9"/>
  <c r="N47" i="9"/>
  <c r="L47" i="9"/>
  <c r="B47" i="9"/>
  <c r="T46" i="9"/>
  <c r="P46" i="9"/>
  <c r="X46" i="9" s="1"/>
  <c r="H46" i="9"/>
  <c r="D46" i="9"/>
  <c r="L46" i="9" s="1"/>
  <c r="N46" i="9" s="1"/>
  <c r="B46" i="9"/>
  <c r="X45" i="9"/>
  <c r="Z45" i="9" s="1"/>
  <c r="L45" i="9"/>
  <c r="N45" i="9" s="1"/>
  <c r="J45" i="9"/>
  <c r="B45" i="9"/>
  <c r="T44" i="9"/>
  <c r="P44" i="9"/>
  <c r="X44" i="9" s="1"/>
  <c r="Z44" i="9" s="1"/>
  <c r="H44" i="9"/>
  <c r="L44" i="9" s="1"/>
  <c r="N44" i="9" s="1"/>
  <c r="D44" i="9"/>
  <c r="B44" i="9"/>
  <c r="Z43" i="9"/>
  <c r="X43" i="9"/>
  <c r="N43" i="9"/>
  <c r="L43" i="9"/>
  <c r="B43" i="9"/>
  <c r="T42" i="9"/>
  <c r="X42" i="9" s="1"/>
  <c r="Z42" i="9" s="1"/>
  <c r="P42" i="9"/>
  <c r="L42" i="9"/>
  <c r="J42" i="9"/>
  <c r="H42" i="9"/>
  <c r="N42" i="9" s="1"/>
  <c r="D42" i="9"/>
  <c r="B42" i="9"/>
  <c r="Z41" i="9"/>
  <c r="X41" i="9"/>
  <c r="V41" i="9"/>
  <c r="N41" i="9"/>
  <c r="L41" i="9"/>
  <c r="J41" i="9"/>
  <c r="B41" i="9"/>
  <c r="Z40" i="9"/>
  <c r="X40" i="9"/>
  <c r="V40" i="9"/>
  <c r="N40" i="9"/>
  <c r="L40" i="9"/>
  <c r="B40" i="9"/>
  <c r="Z39" i="9"/>
  <c r="X39" i="9"/>
  <c r="N39" i="9"/>
  <c r="L39" i="9"/>
  <c r="B39" i="9"/>
  <c r="Z38" i="9"/>
  <c r="X38" i="9"/>
  <c r="L38" i="9"/>
  <c r="N38" i="9" s="1"/>
  <c r="B38" i="9"/>
  <c r="Z37" i="9"/>
  <c r="X37" i="9"/>
  <c r="V37" i="9"/>
  <c r="N37" i="9"/>
  <c r="L37" i="9"/>
  <c r="J37" i="9"/>
  <c r="B37" i="9"/>
  <c r="X36" i="9"/>
  <c r="Z36" i="9" s="1"/>
  <c r="L36" i="9"/>
  <c r="N36" i="9" s="1"/>
  <c r="J36" i="9"/>
  <c r="B36" i="9"/>
  <c r="Z35" i="9"/>
  <c r="X35" i="9"/>
  <c r="N35" i="9"/>
  <c r="L35" i="9"/>
  <c r="B35" i="9"/>
  <c r="Z34" i="9"/>
  <c r="X34" i="9"/>
  <c r="R34" i="9"/>
  <c r="N34" i="9"/>
  <c r="L34" i="9"/>
  <c r="B34" i="9"/>
  <c r="X33" i="9"/>
  <c r="Z33" i="9" s="1"/>
  <c r="V33" i="9"/>
  <c r="N33" i="9"/>
  <c r="L33" i="9"/>
  <c r="J33" i="9"/>
  <c r="B33" i="9"/>
  <c r="X32" i="9"/>
  <c r="Z32" i="9" s="1"/>
  <c r="V32" i="9"/>
  <c r="L32" i="9"/>
  <c r="N32" i="9" s="1"/>
  <c r="B32" i="9"/>
  <c r="Z31" i="9"/>
  <c r="X31" i="9"/>
  <c r="T31" i="9"/>
  <c r="P31" i="9"/>
  <c r="J31" i="9"/>
  <c r="H31" i="9"/>
  <c r="N31" i="9" s="1"/>
  <c r="D31" i="9"/>
  <c r="L31" i="9" s="1"/>
  <c r="B31" i="9"/>
  <c r="X30" i="9"/>
  <c r="Z30" i="9" s="1"/>
  <c r="R30" i="9"/>
  <c r="N30" i="9"/>
  <c r="L30" i="9"/>
  <c r="J30" i="9"/>
  <c r="B30" i="9"/>
  <c r="X29" i="9"/>
  <c r="Z29" i="9" s="1"/>
  <c r="V29" i="9"/>
  <c r="L29" i="9"/>
  <c r="N29" i="9" s="1"/>
  <c r="J29" i="9"/>
  <c r="B29" i="9"/>
  <c r="X28" i="9"/>
  <c r="Z28" i="9" s="1"/>
  <c r="V28" i="9"/>
  <c r="L28" i="9"/>
  <c r="N28" i="9" s="1"/>
  <c r="B28" i="9"/>
  <c r="Z27" i="9"/>
  <c r="X27" i="9"/>
  <c r="N27" i="9"/>
  <c r="L27" i="9"/>
  <c r="B27" i="9"/>
  <c r="Z26" i="9"/>
  <c r="X26" i="9"/>
  <c r="N26" i="9"/>
  <c r="L26" i="9"/>
  <c r="B26" i="9"/>
  <c r="X25" i="9"/>
  <c r="Z25" i="9" s="1"/>
  <c r="V25" i="9"/>
  <c r="L25" i="9"/>
  <c r="N25" i="9" s="1"/>
  <c r="J25" i="9"/>
  <c r="B25" i="9"/>
  <c r="X24" i="9"/>
  <c r="Z24" i="9" s="1"/>
  <c r="L24" i="9"/>
  <c r="N24" i="9" s="1"/>
  <c r="J24" i="9"/>
  <c r="B24" i="9"/>
  <c r="Z23" i="9"/>
  <c r="X23" i="9"/>
  <c r="N23" i="9"/>
  <c r="L23" i="9"/>
  <c r="J23" i="9"/>
  <c r="B23" i="9"/>
  <c r="X22" i="9"/>
  <c r="Z22" i="9" s="1"/>
  <c r="R22" i="9"/>
  <c r="N22" i="9"/>
  <c r="L22" i="9"/>
  <c r="J22" i="9"/>
  <c r="B22" i="9"/>
  <c r="X21" i="9"/>
  <c r="Z21" i="9" s="1"/>
  <c r="V21" i="9"/>
  <c r="L21" i="9"/>
  <c r="N21" i="9" s="1"/>
  <c r="J21" i="9"/>
  <c r="B21" i="9"/>
  <c r="X20" i="9"/>
  <c r="Z20" i="9" s="1"/>
  <c r="V20" i="9"/>
  <c r="L20" i="9"/>
  <c r="N20" i="9" s="1"/>
  <c r="B20" i="9"/>
  <c r="Z19" i="9"/>
  <c r="X19" i="9"/>
  <c r="T19" i="9"/>
  <c r="P19" i="9"/>
  <c r="J19" i="9"/>
  <c r="H19" i="9"/>
  <c r="N19" i="9" s="1"/>
  <c r="D19" i="9"/>
  <c r="L19" i="9" s="1"/>
  <c r="B19" i="9"/>
  <c r="T18" i="9"/>
  <c r="R18" i="9"/>
  <c r="P18" i="9"/>
  <c r="X18" i="9" s="1"/>
  <c r="H18" i="9"/>
  <c r="D18" i="9"/>
  <c r="L18" i="9" s="1"/>
  <c r="N18" i="9" s="1"/>
  <c r="J16" i="9"/>
  <c r="H16" i="9"/>
  <c r="H95" i="9" s="1"/>
  <c r="T14" i="9"/>
  <c r="T16" i="9" s="1"/>
  <c r="R14" i="9"/>
  <c r="P14" i="9"/>
  <c r="X14" i="9" s="1"/>
  <c r="N14" i="9"/>
  <c r="H14" i="9"/>
  <c r="D14" i="9"/>
  <c r="L14" i="9" s="1"/>
  <c r="Z12" i="9"/>
  <c r="T12" i="9"/>
  <c r="V84" i="9" s="1"/>
  <c r="P12" i="9"/>
  <c r="R90" i="9" s="1"/>
  <c r="H12" i="9"/>
  <c r="J80" i="9" s="1"/>
  <c r="D12" i="9"/>
  <c r="F89" i="9" s="1"/>
  <c r="D4" i="9"/>
  <c r="B39" i="8"/>
  <c r="B38" i="8"/>
  <c r="T34" i="8"/>
  <c r="Z34" i="8" s="1"/>
  <c r="P34" i="8"/>
  <c r="H34" i="8"/>
  <c r="N34" i="8" s="1"/>
  <c r="D34" i="8"/>
  <c r="T33" i="8"/>
  <c r="Z33" i="8" s="1"/>
  <c r="P33" i="8"/>
  <c r="H33" i="8"/>
  <c r="N33" i="8" s="1"/>
  <c r="D33" i="8"/>
  <c r="T29" i="8"/>
  <c r="Z29" i="8" s="1"/>
  <c r="P29" i="8"/>
  <c r="H29" i="8"/>
  <c r="N29" i="8" s="1"/>
  <c r="D29" i="8"/>
  <c r="T25" i="8"/>
  <c r="Z25" i="8" s="1"/>
  <c r="P25" i="8"/>
  <c r="H25" i="8"/>
  <c r="N25" i="8" s="1"/>
  <c r="D25" i="8"/>
  <c r="B25" i="8"/>
  <c r="T24" i="8"/>
  <c r="Z24" i="8" s="1"/>
  <c r="P24" i="8"/>
  <c r="H24" i="8"/>
  <c r="N24" i="8" s="1"/>
  <c r="D24" i="8"/>
  <c r="T22" i="8"/>
  <c r="Z22" i="8" s="1"/>
  <c r="P22" i="8"/>
  <c r="H22" i="8"/>
  <c r="N22" i="8" s="1"/>
  <c r="D22" i="8"/>
  <c r="B22" i="8"/>
  <c r="T21" i="8"/>
  <c r="P21" i="8"/>
  <c r="H21" i="8"/>
  <c r="N21" i="8" s="1"/>
  <c r="D21" i="8"/>
  <c r="B21" i="8"/>
  <c r="T20" i="8"/>
  <c r="Z20" i="8" s="1"/>
  <c r="P20" i="8"/>
  <c r="H20" i="8"/>
  <c r="N20" i="8" s="1"/>
  <c r="D20" i="8"/>
  <c r="T16" i="8"/>
  <c r="Z16" i="8" s="1"/>
  <c r="P16" i="8"/>
  <c r="H16" i="8"/>
  <c r="N16" i="8" s="1"/>
  <c r="D16" i="8"/>
  <c r="B16" i="8"/>
  <c r="T15" i="8"/>
  <c r="Z15" i="8" s="1"/>
  <c r="P15" i="8"/>
  <c r="H15" i="8"/>
  <c r="N15" i="8" s="1"/>
  <c r="D15" i="8"/>
  <c r="T13" i="8"/>
  <c r="Z13" i="8" s="1"/>
  <c r="P13" i="8"/>
  <c r="H13" i="8"/>
  <c r="N13" i="8" s="1"/>
  <c r="D13" i="8"/>
  <c r="B13" i="8"/>
  <c r="T12" i="8"/>
  <c r="V34" i="8" s="1"/>
  <c r="P12" i="8"/>
  <c r="R22" i="8" s="1"/>
  <c r="H12" i="8"/>
  <c r="J22" i="8" s="1"/>
  <c r="D12" i="8"/>
  <c r="F20" i="8" s="1"/>
  <c r="D5" i="8"/>
  <c r="D4" i="8"/>
  <c r="B39" i="7"/>
  <c r="B38" i="7"/>
  <c r="T34" i="7"/>
  <c r="Z34" i="7" s="1"/>
  <c r="P34" i="7"/>
  <c r="H34" i="7"/>
  <c r="N34" i="7" s="1"/>
  <c r="D34" i="7"/>
  <c r="T33" i="7"/>
  <c r="Z33" i="7" s="1"/>
  <c r="P33" i="7"/>
  <c r="H33" i="7"/>
  <c r="N33" i="7" s="1"/>
  <c r="D33" i="7"/>
  <c r="T29" i="7"/>
  <c r="Z29" i="7" s="1"/>
  <c r="P29" i="7"/>
  <c r="H29" i="7"/>
  <c r="N29" i="7" s="1"/>
  <c r="D29" i="7"/>
  <c r="T25" i="7"/>
  <c r="Z25" i="7" s="1"/>
  <c r="P25" i="7"/>
  <c r="H25" i="7"/>
  <c r="N25" i="7" s="1"/>
  <c r="D25" i="7"/>
  <c r="B25" i="7"/>
  <c r="T24" i="7"/>
  <c r="Z24" i="7" s="1"/>
  <c r="P24" i="7"/>
  <c r="H24" i="7"/>
  <c r="N24" i="7" s="1"/>
  <c r="D24" i="7"/>
  <c r="T22" i="7"/>
  <c r="Z22" i="7" s="1"/>
  <c r="P22" i="7"/>
  <c r="H22" i="7"/>
  <c r="N22" i="7" s="1"/>
  <c r="D22" i="7"/>
  <c r="B22" i="7"/>
  <c r="T21" i="7"/>
  <c r="Z21" i="7" s="1"/>
  <c r="P21" i="7"/>
  <c r="H21" i="7"/>
  <c r="N21" i="7" s="1"/>
  <c r="D21" i="7"/>
  <c r="B21" i="7"/>
  <c r="T20" i="7"/>
  <c r="Z20" i="7" s="1"/>
  <c r="P20" i="7"/>
  <c r="H20" i="7"/>
  <c r="N20" i="7" s="1"/>
  <c r="D20" i="7"/>
  <c r="T16" i="7"/>
  <c r="Z16" i="7" s="1"/>
  <c r="P16" i="7"/>
  <c r="H16" i="7"/>
  <c r="N16" i="7" s="1"/>
  <c r="D16" i="7"/>
  <c r="B16" i="7"/>
  <c r="T15" i="7"/>
  <c r="Z15" i="7" s="1"/>
  <c r="P15" i="7"/>
  <c r="X15" i="7" s="1"/>
  <c r="H15" i="7"/>
  <c r="N15" i="7" s="1"/>
  <c r="D15" i="7"/>
  <c r="T13" i="7"/>
  <c r="Z13" i="7" s="1"/>
  <c r="P13" i="7"/>
  <c r="H13" i="7"/>
  <c r="N13" i="7" s="1"/>
  <c r="D13" i="7"/>
  <c r="B13" i="7"/>
  <c r="T12" i="7"/>
  <c r="V20" i="7" s="1"/>
  <c r="P12" i="7"/>
  <c r="R20" i="7" s="1"/>
  <c r="H12" i="7"/>
  <c r="J34" i="7" s="1"/>
  <c r="D12" i="7"/>
  <c r="F20" i="7" s="1"/>
  <c r="D5" i="7"/>
  <c r="D4" i="7"/>
  <c r="R31" i="6"/>
  <c r="J31" i="6"/>
  <c r="Z29" i="6"/>
  <c r="X29" i="6"/>
  <c r="T29" i="6"/>
  <c r="R29" i="6"/>
  <c r="P29" i="6"/>
  <c r="J29" i="6"/>
  <c r="H29" i="6"/>
  <c r="F29" i="6"/>
  <c r="D29" i="6"/>
  <c r="L29" i="6" s="1"/>
  <c r="T28" i="6"/>
  <c r="R28" i="6"/>
  <c r="P28" i="6"/>
  <c r="X28" i="6" s="1"/>
  <c r="Z28" i="6" s="1"/>
  <c r="N28" i="6"/>
  <c r="L28" i="6"/>
  <c r="J28" i="6"/>
  <c r="H28" i="6"/>
  <c r="D28" i="6"/>
  <c r="R26" i="6"/>
  <c r="J26" i="6"/>
  <c r="F26" i="6"/>
  <c r="Z24" i="6"/>
  <c r="X24" i="6"/>
  <c r="N24" i="6"/>
  <c r="L24" i="6"/>
  <c r="J24" i="6"/>
  <c r="F24" i="6"/>
  <c r="R22" i="6"/>
  <c r="J22" i="6"/>
  <c r="Z20" i="6"/>
  <c r="X20" i="6"/>
  <c r="T20" i="6"/>
  <c r="R20" i="6"/>
  <c r="P20" i="6"/>
  <c r="J20" i="6"/>
  <c r="H20" i="6"/>
  <c r="N20" i="6" s="1"/>
  <c r="F20" i="6"/>
  <c r="D20" i="6"/>
  <c r="L20" i="6" s="1"/>
  <c r="Z18" i="6"/>
  <c r="T18" i="6"/>
  <c r="R18" i="6"/>
  <c r="P18" i="6"/>
  <c r="X18" i="6" s="1"/>
  <c r="N18" i="6"/>
  <c r="L18" i="6"/>
  <c r="J18" i="6"/>
  <c r="H18" i="6"/>
  <c r="D18" i="6"/>
  <c r="R16" i="6"/>
  <c r="J16" i="6"/>
  <c r="H16" i="6"/>
  <c r="H22" i="6" s="1"/>
  <c r="F16" i="6"/>
  <c r="D16" i="6"/>
  <c r="D22" i="6" s="1"/>
  <c r="Z14" i="6"/>
  <c r="T14" i="6"/>
  <c r="R14" i="6"/>
  <c r="P14" i="6"/>
  <c r="X14" i="6" s="1"/>
  <c r="N14" i="6"/>
  <c r="L14" i="6"/>
  <c r="J14" i="6"/>
  <c r="H14" i="6"/>
  <c r="D14" i="6"/>
  <c r="Z12" i="6"/>
  <c r="X12" i="6"/>
  <c r="T12" i="6"/>
  <c r="V29" i="6" s="1"/>
  <c r="P12" i="6"/>
  <c r="P16" i="6" s="1"/>
  <c r="N12" i="6"/>
  <c r="H12" i="6"/>
  <c r="D12" i="6"/>
  <c r="L12" i="6" s="1"/>
  <c r="D4" i="6"/>
  <c r="B39" i="5"/>
  <c r="B38" i="5"/>
  <c r="T34" i="5"/>
  <c r="Z34" i="5" s="1"/>
  <c r="P34" i="5"/>
  <c r="H34" i="5"/>
  <c r="N34" i="5" s="1"/>
  <c r="D34" i="5"/>
  <c r="T33" i="5"/>
  <c r="Z33" i="5" s="1"/>
  <c r="P33" i="5"/>
  <c r="H33" i="5"/>
  <c r="N33" i="5" s="1"/>
  <c r="D33" i="5"/>
  <c r="T29" i="5"/>
  <c r="Z29" i="5" s="1"/>
  <c r="P29" i="5"/>
  <c r="H29" i="5"/>
  <c r="N29" i="5" s="1"/>
  <c r="D29" i="5"/>
  <c r="T25" i="5"/>
  <c r="Z25" i="5" s="1"/>
  <c r="P25" i="5"/>
  <c r="H25" i="5"/>
  <c r="N25" i="5" s="1"/>
  <c r="D25" i="5"/>
  <c r="B25" i="5"/>
  <c r="T24" i="5"/>
  <c r="Z24" i="5" s="1"/>
  <c r="P24" i="5"/>
  <c r="X24" i="5" s="1"/>
  <c r="H24" i="5"/>
  <c r="N24" i="5" s="1"/>
  <c r="D24" i="5"/>
  <c r="T22" i="5"/>
  <c r="Z22" i="5" s="1"/>
  <c r="P22" i="5"/>
  <c r="H22" i="5"/>
  <c r="N22" i="5" s="1"/>
  <c r="D22" i="5"/>
  <c r="B22" i="5"/>
  <c r="T21" i="5"/>
  <c r="Z21" i="5" s="1"/>
  <c r="P21" i="5"/>
  <c r="H21" i="5"/>
  <c r="N21" i="5" s="1"/>
  <c r="D21" i="5"/>
  <c r="B21" i="5"/>
  <c r="T20" i="5"/>
  <c r="Z20" i="5" s="1"/>
  <c r="P20" i="5"/>
  <c r="H20" i="5"/>
  <c r="N20" i="5" s="1"/>
  <c r="D20" i="5"/>
  <c r="T16" i="5"/>
  <c r="Z16" i="5" s="1"/>
  <c r="P16" i="5"/>
  <c r="H16" i="5"/>
  <c r="N16" i="5" s="1"/>
  <c r="D16" i="5"/>
  <c r="B16" i="5"/>
  <c r="T15" i="5"/>
  <c r="Z15" i="5" s="1"/>
  <c r="P15" i="5"/>
  <c r="H15" i="5"/>
  <c r="N15" i="5" s="1"/>
  <c r="D15" i="5"/>
  <c r="T13" i="5"/>
  <c r="Z13" i="5" s="1"/>
  <c r="P13" i="5"/>
  <c r="H13" i="5"/>
  <c r="N13" i="5" s="1"/>
  <c r="D13" i="5"/>
  <c r="L13" i="5" s="1"/>
  <c r="B13" i="5"/>
  <c r="T12" i="5"/>
  <c r="V24" i="5" s="1"/>
  <c r="P12" i="5"/>
  <c r="H12" i="5"/>
  <c r="J36" i="5" s="1"/>
  <c r="D12" i="5"/>
  <c r="F36" i="5" s="1"/>
  <c r="D5" i="5"/>
  <c r="D4" i="5"/>
  <c r="B39" i="4"/>
  <c r="B38" i="4"/>
  <c r="T34" i="4"/>
  <c r="Z34" i="4" s="1"/>
  <c r="P34" i="4"/>
  <c r="H34" i="4"/>
  <c r="N34" i="4" s="1"/>
  <c r="D34" i="4"/>
  <c r="T33" i="4"/>
  <c r="Z33" i="4" s="1"/>
  <c r="P33" i="4"/>
  <c r="H33" i="4"/>
  <c r="N33" i="4" s="1"/>
  <c r="D33" i="4"/>
  <c r="T29" i="4"/>
  <c r="Z29" i="4" s="1"/>
  <c r="P29" i="4"/>
  <c r="H29" i="4"/>
  <c r="N29" i="4" s="1"/>
  <c r="D29" i="4"/>
  <c r="T25" i="4"/>
  <c r="Z25" i="4" s="1"/>
  <c r="P25" i="4"/>
  <c r="H25" i="4"/>
  <c r="N25" i="4" s="1"/>
  <c r="D25" i="4"/>
  <c r="B25" i="4"/>
  <c r="T24" i="4"/>
  <c r="P24" i="4"/>
  <c r="H24" i="4"/>
  <c r="N24" i="4" s="1"/>
  <c r="D24" i="4"/>
  <c r="T22" i="4"/>
  <c r="Z22" i="4" s="1"/>
  <c r="P22" i="4"/>
  <c r="H22" i="4"/>
  <c r="N22" i="4" s="1"/>
  <c r="D22" i="4"/>
  <c r="B22" i="4"/>
  <c r="T21" i="4"/>
  <c r="Z21" i="4" s="1"/>
  <c r="P21" i="4"/>
  <c r="H21" i="4"/>
  <c r="N21" i="4" s="1"/>
  <c r="D21" i="4"/>
  <c r="B21" i="4"/>
  <c r="T20" i="4"/>
  <c r="Z20" i="4" s="1"/>
  <c r="P20" i="4"/>
  <c r="H20" i="4"/>
  <c r="N20" i="4" s="1"/>
  <c r="D20" i="4"/>
  <c r="T16" i="4"/>
  <c r="Z16" i="4" s="1"/>
  <c r="P16" i="4"/>
  <c r="H16" i="4"/>
  <c r="N16" i="4" s="1"/>
  <c r="D16" i="4"/>
  <c r="B16" i="4"/>
  <c r="T15" i="4"/>
  <c r="Z15" i="4" s="1"/>
  <c r="P15" i="4"/>
  <c r="H15" i="4"/>
  <c r="N15" i="4" s="1"/>
  <c r="D15" i="4"/>
  <c r="T13" i="4"/>
  <c r="Z13" i="4" s="1"/>
  <c r="P13" i="4"/>
  <c r="H13" i="4"/>
  <c r="N13" i="4" s="1"/>
  <c r="D13" i="4"/>
  <c r="B13" i="4"/>
  <c r="T12" i="4"/>
  <c r="V34" i="4" s="1"/>
  <c r="P12" i="4"/>
  <c r="R22" i="4" s="1"/>
  <c r="H12" i="4"/>
  <c r="J22" i="4" s="1"/>
  <c r="D12" i="4"/>
  <c r="F20" i="4" s="1"/>
  <c r="D5" i="4"/>
  <c r="D4" i="4"/>
  <c r="X181" i="3"/>
  <c r="T181" i="3"/>
  <c r="Z181" i="3" s="1"/>
  <c r="P181" i="3"/>
  <c r="H181" i="3"/>
  <c r="D181" i="3"/>
  <c r="L181" i="3" s="1"/>
  <c r="T180" i="3"/>
  <c r="P180" i="3"/>
  <c r="X180" i="3" s="1"/>
  <c r="Z180" i="3" s="1"/>
  <c r="H180" i="3"/>
  <c r="L180" i="3" s="1"/>
  <c r="N180" i="3" s="1"/>
  <c r="D180" i="3"/>
  <c r="X176" i="3"/>
  <c r="Z176" i="3" s="1"/>
  <c r="L176" i="3"/>
  <c r="N176" i="3" s="1"/>
  <c r="Z172" i="3"/>
  <c r="X172" i="3"/>
  <c r="P172" i="3"/>
  <c r="N172" i="3"/>
  <c r="D172" i="3"/>
  <c r="L172" i="3" s="1"/>
  <c r="B172" i="3"/>
  <c r="Z171" i="3"/>
  <c r="X171" i="3"/>
  <c r="P171" i="3"/>
  <c r="N171" i="3"/>
  <c r="L171" i="3"/>
  <c r="D171" i="3"/>
  <c r="B171" i="3"/>
  <c r="Z170" i="3"/>
  <c r="P170" i="3"/>
  <c r="X170" i="3" s="1"/>
  <c r="N170" i="3"/>
  <c r="L170" i="3"/>
  <c r="D170" i="3"/>
  <c r="B170" i="3"/>
  <c r="Z169" i="3"/>
  <c r="P169" i="3"/>
  <c r="X169" i="3" s="1"/>
  <c r="N169" i="3"/>
  <c r="D169" i="3"/>
  <c r="L169" i="3" s="1"/>
  <c r="B169" i="3"/>
  <c r="X168" i="3"/>
  <c r="Z168" i="3" s="1"/>
  <c r="P168" i="3"/>
  <c r="D168" i="3"/>
  <c r="L168" i="3" s="1"/>
  <c r="N168" i="3" s="1"/>
  <c r="B168" i="3"/>
  <c r="V167" i="3"/>
  <c r="P167" i="3"/>
  <c r="X167" i="3" s="1"/>
  <c r="Z167" i="3" s="1"/>
  <c r="L167" i="3"/>
  <c r="N167" i="3" s="1"/>
  <c r="D167" i="3"/>
  <c r="B167" i="3"/>
  <c r="Z166" i="3"/>
  <c r="X166" i="3"/>
  <c r="P166" i="3"/>
  <c r="N166" i="3"/>
  <c r="J166" i="3"/>
  <c r="D166" i="3"/>
  <c r="L166" i="3" s="1"/>
  <c r="B166" i="3"/>
  <c r="Z165" i="3"/>
  <c r="P165" i="3"/>
  <c r="P164" i="3" s="1"/>
  <c r="X164" i="3" s="1"/>
  <c r="N165" i="3"/>
  <c r="L165" i="3"/>
  <c r="D165" i="3"/>
  <c r="B165" i="3"/>
  <c r="T164" i="3"/>
  <c r="Z164" i="3" s="1"/>
  <c r="H164" i="3"/>
  <c r="X162" i="3"/>
  <c r="Z162" i="3" s="1"/>
  <c r="L162" i="3"/>
  <c r="N162" i="3" s="1"/>
  <c r="B162" i="3"/>
  <c r="T161" i="3"/>
  <c r="P161" i="3"/>
  <c r="X161" i="3" s="1"/>
  <c r="Z161" i="3" s="1"/>
  <c r="N161" i="3"/>
  <c r="L161" i="3"/>
  <c r="H161" i="3"/>
  <c r="D161" i="3"/>
  <c r="B161" i="3"/>
  <c r="Z160" i="3"/>
  <c r="X160" i="3"/>
  <c r="L160" i="3"/>
  <c r="N160" i="3" s="1"/>
  <c r="B160" i="3"/>
  <c r="Z159" i="3"/>
  <c r="X159" i="3"/>
  <c r="L159" i="3"/>
  <c r="N159" i="3" s="1"/>
  <c r="J159" i="3"/>
  <c r="B159" i="3"/>
  <c r="X158" i="3"/>
  <c r="Z158" i="3" s="1"/>
  <c r="L158" i="3"/>
  <c r="N158" i="3" s="1"/>
  <c r="B158" i="3"/>
  <c r="T157" i="3"/>
  <c r="P157" i="3"/>
  <c r="X157" i="3" s="1"/>
  <c r="Z157" i="3" s="1"/>
  <c r="N157" i="3"/>
  <c r="L157" i="3"/>
  <c r="H157" i="3"/>
  <c r="D157" i="3"/>
  <c r="B157" i="3"/>
  <c r="Z156" i="3"/>
  <c r="X156" i="3"/>
  <c r="L156" i="3"/>
  <c r="N156" i="3" s="1"/>
  <c r="B156" i="3"/>
  <c r="Z155" i="3"/>
  <c r="X155" i="3"/>
  <c r="T155" i="3"/>
  <c r="P155" i="3"/>
  <c r="N155" i="3"/>
  <c r="L155" i="3"/>
  <c r="H155" i="3"/>
  <c r="D155" i="3"/>
  <c r="B155" i="3"/>
  <c r="X154" i="3"/>
  <c r="Z154" i="3" s="1"/>
  <c r="L154" i="3"/>
  <c r="N154" i="3" s="1"/>
  <c r="B154" i="3"/>
  <c r="Z153" i="3"/>
  <c r="X153" i="3"/>
  <c r="N153" i="3"/>
  <c r="L153" i="3"/>
  <c r="B153" i="3"/>
  <c r="T152" i="3"/>
  <c r="X152" i="3" s="1"/>
  <c r="Z152" i="3" s="1"/>
  <c r="P152" i="3"/>
  <c r="L152" i="3"/>
  <c r="H152" i="3"/>
  <c r="N152" i="3" s="1"/>
  <c r="D152" i="3"/>
  <c r="B152" i="3"/>
  <c r="X151" i="3"/>
  <c r="Z151" i="3" s="1"/>
  <c r="V151" i="3"/>
  <c r="N151" i="3"/>
  <c r="L151" i="3"/>
  <c r="B151" i="3"/>
  <c r="X150" i="3"/>
  <c r="Z150" i="3" s="1"/>
  <c r="L150" i="3"/>
  <c r="N150" i="3" s="1"/>
  <c r="B150" i="3"/>
  <c r="Z149" i="3"/>
  <c r="X149" i="3"/>
  <c r="N149" i="3"/>
  <c r="L149" i="3"/>
  <c r="B149" i="3"/>
  <c r="Z148" i="3"/>
  <c r="X148" i="3"/>
  <c r="L148" i="3"/>
  <c r="N148" i="3" s="1"/>
  <c r="B148" i="3"/>
  <c r="Z147" i="3"/>
  <c r="X147" i="3"/>
  <c r="L147" i="3"/>
  <c r="N147" i="3" s="1"/>
  <c r="J147" i="3"/>
  <c r="B147" i="3"/>
  <c r="X146" i="3"/>
  <c r="Z146" i="3" s="1"/>
  <c r="L146" i="3"/>
  <c r="N146" i="3" s="1"/>
  <c r="B146" i="3"/>
  <c r="Z145" i="3"/>
  <c r="X145" i="3"/>
  <c r="N145" i="3"/>
  <c r="L145" i="3"/>
  <c r="B145" i="3"/>
  <c r="X144" i="3"/>
  <c r="Z144" i="3" s="1"/>
  <c r="N144" i="3"/>
  <c r="L144" i="3"/>
  <c r="B144" i="3"/>
  <c r="X143" i="3"/>
  <c r="Z143" i="3" s="1"/>
  <c r="V143" i="3"/>
  <c r="N143" i="3"/>
  <c r="L143" i="3"/>
  <c r="B143" i="3"/>
  <c r="X142" i="3"/>
  <c r="Z142" i="3" s="1"/>
  <c r="L142" i="3"/>
  <c r="N142" i="3" s="1"/>
  <c r="B142" i="3"/>
  <c r="Z141" i="3"/>
  <c r="X141" i="3"/>
  <c r="T141" i="3"/>
  <c r="P141" i="3"/>
  <c r="J141" i="3"/>
  <c r="H141" i="3"/>
  <c r="N141" i="3" s="1"/>
  <c r="D141" i="3"/>
  <c r="L141" i="3" s="1"/>
  <c r="B141" i="3"/>
  <c r="X140" i="3"/>
  <c r="Z140" i="3" s="1"/>
  <c r="N140" i="3"/>
  <c r="L140" i="3"/>
  <c r="B140" i="3"/>
  <c r="X139" i="3"/>
  <c r="Z139" i="3" s="1"/>
  <c r="V139" i="3"/>
  <c r="N139" i="3"/>
  <c r="L139" i="3"/>
  <c r="B139" i="3"/>
  <c r="X138" i="3"/>
  <c r="T138" i="3"/>
  <c r="Z138" i="3" s="1"/>
  <c r="P138" i="3"/>
  <c r="H138" i="3"/>
  <c r="N138" i="3" s="1"/>
  <c r="D138" i="3"/>
  <c r="L138" i="3" s="1"/>
  <c r="B138" i="3"/>
  <c r="Z137" i="3"/>
  <c r="X137" i="3"/>
  <c r="N137" i="3"/>
  <c r="L137" i="3"/>
  <c r="B137" i="3"/>
  <c r="X136" i="3"/>
  <c r="Z136" i="3" s="1"/>
  <c r="N136" i="3"/>
  <c r="L136" i="3"/>
  <c r="B136" i="3"/>
  <c r="Z135" i="3"/>
  <c r="X135" i="3"/>
  <c r="V135" i="3"/>
  <c r="N135" i="3"/>
  <c r="L135" i="3"/>
  <c r="B135" i="3"/>
  <c r="X134" i="3"/>
  <c r="Z134" i="3" s="1"/>
  <c r="L134" i="3"/>
  <c r="N134" i="3" s="1"/>
  <c r="B134" i="3"/>
  <c r="Z133" i="3"/>
  <c r="X133" i="3"/>
  <c r="N133" i="3"/>
  <c r="L133" i="3"/>
  <c r="B133" i="3"/>
  <c r="T132" i="3"/>
  <c r="X132" i="3" s="1"/>
  <c r="Z132" i="3" s="1"/>
  <c r="P132" i="3"/>
  <c r="L132" i="3"/>
  <c r="H132" i="3"/>
  <c r="N132" i="3" s="1"/>
  <c r="D132" i="3"/>
  <c r="B132" i="3"/>
  <c r="Z131" i="3"/>
  <c r="X131" i="3"/>
  <c r="V131" i="3"/>
  <c r="N131" i="3"/>
  <c r="L131" i="3"/>
  <c r="B131" i="3"/>
  <c r="Z130" i="3"/>
  <c r="X130" i="3"/>
  <c r="N130" i="3"/>
  <c r="L130" i="3"/>
  <c r="B130" i="3"/>
  <c r="Z129" i="3"/>
  <c r="X129" i="3"/>
  <c r="N129" i="3"/>
  <c r="L129" i="3"/>
  <c r="B129" i="3"/>
  <c r="Z128" i="3"/>
  <c r="X128" i="3"/>
  <c r="L128" i="3"/>
  <c r="N128" i="3" s="1"/>
  <c r="B128" i="3"/>
  <c r="Z127" i="3"/>
  <c r="X127" i="3"/>
  <c r="T127" i="3"/>
  <c r="P127" i="3"/>
  <c r="N127" i="3"/>
  <c r="L127" i="3"/>
  <c r="H127" i="3"/>
  <c r="D127" i="3"/>
  <c r="B127" i="3"/>
  <c r="X126" i="3"/>
  <c r="Z126" i="3" s="1"/>
  <c r="L126" i="3"/>
  <c r="N126" i="3" s="1"/>
  <c r="B126" i="3"/>
  <c r="Z125" i="3"/>
  <c r="X125" i="3"/>
  <c r="N125" i="3"/>
  <c r="L125" i="3"/>
  <c r="B125" i="3"/>
  <c r="Z124" i="3"/>
  <c r="X124" i="3"/>
  <c r="L124" i="3"/>
  <c r="N124" i="3" s="1"/>
  <c r="B124" i="3"/>
  <c r="Z123" i="3"/>
  <c r="X123" i="3"/>
  <c r="L123" i="3"/>
  <c r="N123" i="3" s="1"/>
  <c r="J123" i="3"/>
  <c r="B123" i="3"/>
  <c r="T122" i="3"/>
  <c r="P122" i="3"/>
  <c r="X122" i="3" s="1"/>
  <c r="Z122" i="3" s="1"/>
  <c r="H122" i="3"/>
  <c r="L122" i="3" s="1"/>
  <c r="N122" i="3" s="1"/>
  <c r="D122" i="3"/>
  <c r="B122" i="3"/>
  <c r="Z121" i="3"/>
  <c r="X121" i="3"/>
  <c r="N121" i="3"/>
  <c r="L121" i="3"/>
  <c r="B121" i="3"/>
  <c r="T120" i="3"/>
  <c r="X120" i="3" s="1"/>
  <c r="Z120" i="3" s="1"/>
  <c r="P120" i="3"/>
  <c r="L120" i="3"/>
  <c r="H120" i="3"/>
  <c r="N120" i="3" s="1"/>
  <c r="D120" i="3"/>
  <c r="B120" i="3"/>
  <c r="X119" i="3"/>
  <c r="Z119" i="3" s="1"/>
  <c r="V119" i="3"/>
  <c r="N119" i="3"/>
  <c r="L119" i="3"/>
  <c r="B119" i="3"/>
  <c r="X118" i="3"/>
  <c r="T118" i="3"/>
  <c r="Z118" i="3" s="1"/>
  <c r="P118" i="3"/>
  <c r="H118" i="3"/>
  <c r="N118" i="3" s="1"/>
  <c r="D118" i="3"/>
  <c r="L118" i="3" s="1"/>
  <c r="B118" i="3"/>
  <c r="Z117" i="3"/>
  <c r="X117" i="3"/>
  <c r="N117" i="3"/>
  <c r="L117" i="3"/>
  <c r="B117" i="3"/>
  <c r="T116" i="3"/>
  <c r="Z116" i="3" s="1"/>
  <c r="P116" i="3"/>
  <c r="X116" i="3" s="1"/>
  <c r="N116" i="3"/>
  <c r="H116" i="3"/>
  <c r="D116" i="3"/>
  <c r="L116" i="3" s="1"/>
  <c r="B116" i="3"/>
  <c r="Z115" i="3"/>
  <c r="X115" i="3"/>
  <c r="N115" i="3"/>
  <c r="L115" i="3"/>
  <c r="J115" i="3"/>
  <c r="B115" i="3"/>
  <c r="T114" i="3"/>
  <c r="P114" i="3"/>
  <c r="X114" i="3" s="1"/>
  <c r="Z114" i="3" s="1"/>
  <c r="H114" i="3"/>
  <c r="D114" i="3"/>
  <c r="B114" i="3"/>
  <c r="Z113" i="3"/>
  <c r="X113" i="3"/>
  <c r="N113" i="3"/>
  <c r="L113" i="3"/>
  <c r="B113" i="3"/>
  <c r="T112" i="3"/>
  <c r="P112" i="3"/>
  <c r="L112" i="3"/>
  <c r="H112" i="3"/>
  <c r="N112" i="3" s="1"/>
  <c r="D112" i="3"/>
  <c r="B112" i="3"/>
  <c r="Z111" i="3"/>
  <c r="X111" i="3"/>
  <c r="V111" i="3"/>
  <c r="N111" i="3"/>
  <c r="L111" i="3"/>
  <c r="B111" i="3"/>
  <c r="X110" i="3"/>
  <c r="T110" i="3"/>
  <c r="Z110" i="3" s="1"/>
  <c r="P110" i="3"/>
  <c r="H110" i="3"/>
  <c r="D110" i="3"/>
  <c r="L110" i="3" s="1"/>
  <c r="B110" i="3"/>
  <c r="Z109" i="3"/>
  <c r="X109" i="3"/>
  <c r="N109" i="3"/>
  <c r="L109" i="3"/>
  <c r="B109" i="3"/>
  <c r="X108" i="3"/>
  <c r="Z108" i="3" s="1"/>
  <c r="N108" i="3"/>
  <c r="L108" i="3"/>
  <c r="B108" i="3"/>
  <c r="V107" i="3"/>
  <c r="T107" i="3"/>
  <c r="Z107" i="3" s="1"/>
  <c r="P107" i="3"/>
  <c r="X107" i="3" s="1"/>
  <c r="H107" i="3"/>
  <c r="D107" i="3"/>
  <c r="L107" i="3" s="1"/>
  <c r="N107" i="3" s="1"/>
  <c r="B107" i="3"/>
  <c r="X106" i="3"/>
  <c r="Z106" i="3" s="1"/>
  <c r="L106" i="3"/>
  <c r="N106" i="3" s="1"/>
  <c r="B106" i="3"/>
  <c r="Z105" i="3"/>
  <c r="X105" i="3"/>
  <c r="N105" i="3"/>
  <c r="L105" i="3"/>
  <c r="B105" i="3"/>
  <c r="T104" i="3"/>
  <c r="P104" i="3"/>
  <c r="X104" i="3" s="1"/>
  <c r="H104" i="3"/>
  <c r="D104" i="3"/>
  <c r="L104" i="3" s="1"/>
  <c r="N104" i="3" s="1"/>
  <c r="B104" i="3"/>
  <c r="Z103" i="3"/>
  <c r="X103" i="3"/>
  <c r="N103" i="3"/>
  <c r="L103" i="3"/>
  <c r="J103" i="3"/>
  <c r="B103" i="3"/>
  <c r="T102" i="3"/>
  <c r="P102" i="3"/>
  <c r="X102" i="3" s="1"/>
  <c r="Z102" i="3" s="1"/>
  <c r="H102" i="3"/>
  <c r="D102" i="3"/>
  <c r="B102" i="3"/>
  <c r="Z101" i="3"/>
  <c r="X101" i="3"/>
  <c r="N101" i="3"/>
  <c r="L101" i="3"/>
  <c r="B101" i="3"/>
  <c r="T100" i="3"/>
  <c r="P100" i="3"/>
  <c r="L100" i="3"/>
  <c r="H100" i="3"/>
  <c r="N100" i="3" s="1"/>
  <c r="D100" i="3"/>
  <c r="B100" i="3"/>
  <c r="Z99" i="3"/>
  <c r="X99" i="3"/>
  <c r="V99" i="3"/>
  <c r="N99" i="3"/>
  <c r="L99" i="3"/>
  <c r="B99" i="3"/>
  <c r="X98" i="3"/>
  <c r="T98" i="3"/>
  <c r="Z98" i="3" s="1"/>
  <c r="P98" i="3"/>
  <c r="H98" i="3"/>
  <c r="N98" i="3" s="1"/>
  <c r="D98" i="3"/>
  <c r="L98" i="3" s="1"/>
  <c r="B98" i="3"/>
  <c r="Z97" i="3"/>
  <c r="X97" i="3"/>
  <c r="N97" i="3"/>
  <c r="L97" i="3"/>
  <c r="B97" i="3"/>
  <c r="Z96" i="3"/>
  <c r="X96" i="3"/>
  <c r="N96" i="3"/>
  <c r="L96" i="3"/>
  <c r="B96" i="3"/>
  <c r="V95" i="3"/>
  <c r="T95" i="3"/>
  <c r="Z95" i="3" s="1"/>
  <c r="P95" i="3"/>
  <c r="X95" i="3" s="1"/>
  <c r="N95" i="3"/>
  <c r="H95" i="3"/>
  <c r="D95" i="3"/>
  <c r="L95" i="3" s="1"/>
  <c r="B95" i="3"/>
  <c r="X94" i="3"/>
  <c r="Z94" i="3" s="1"/>
  <c r="L94" i="3"/>
  <c r="N94" i="3" s="1"/>
  <c r="B94" i="3"/>
  <c r="Z93" i="3"/>
  <c r="X93" i="3"/>
  <c r="N93" i="3"/>
  <c r="L93" i="3"/>
  <c r="B93" i="3"/>
  <c r="T92" i="3"/>
  <c r="P92" i="3"/>
  <c r="X92" i="3" s="1"/>
  <c r="H92" i="3"/>
  <c r="D92" i="3"/>
  <c r="L92" i="3" s="1"/>
  <c r="N92" i="3" s="1"/>
  <c r="B92" i="3"/>
  <c r="Z91" i="3"/>
  <c r="X91" i="3"/>
  <c r="N91" i="3"/>
  <c r="L91" i="3"/>
  <c r="J91" i="3"/>
  <c r="B91" i="3"/>
  <c r="T90" i="3"/>
  <c r="P90" i="3"/>
  <c r="X90" i="3" s="1"/>
  <c r="Z90" i="3" s="1"/>
  <c r="H90" i="3"/>
  <c r="D90" i="3"/>
  <c r="B90" i="3"/>
  <c r="Z89" i="3"/>
  <c r="X89" i="3"/>
  <c r="N89" i="3"/>
  <c r="L89" i="3"/>
  <c r="B89" i="3"/>
  <c r="T88" i="3"/>
  <c r="P88" i="3"/>
  <c r="L88" i="3"/>
  <c r="H88" i="3"/>
  <c r="N88" i="3" s="1"/>
  <c r="D88" i="3"/>
  <c r="B88" i="3"/>
  <c r="Z87" i="3"/>
  <c r="X87" i="3"/>
  <c r="V87" i="3"/>
  <c r="N87" i="3"/>
  <c r="L87" i="3"/>
  <c r="B87" i="3"/>
  <c r="X86" i="3"/>
  <c r="T86" i="3"/>
  <c r="Z86" i="3" s="1"/>
  <c r="P86" i="3"/>
  <c r="H86" i="3"/>
  <c r="N86" i="3" s="1"/>
  <c r="D86" i="3"/>
  <c r="L86" i="3" s="1"/>
  <c r="B86" i="3"/>
  <c r="Z85" i="3"/>
  <c r="X85" i="3"/>
  <c r="N85" i="3"/>
  <c r="L85" i="3"/>
  <c r="B85" i="3"/>
  <c r="Z84" i="3"/>
  <c r="X84" i="3"/>
  <c r="N84" i="3"/>
  <c r="L84" i="3"/>
  <c r="B84" i="3"/>
  <c r="Z83" i="3"/>
  <c r="X83" i="3"/>
  <c r="V83" i="3"/>
  <c r="N83" i="3"/>
  <c r="L83" i="3"/>
  <c r="B83" i="3"/>
  <c r="X82" i="3"/>
  <c r="Z82" i="3" s="1"/>
  <c r="L82" i="3"/>
  <c r="N82" i="3" s="1"/>
  <c r="B82" i="3"/>
  <c r="Z81" i="3"/>
  <c r="X81" i="3"/>
  <c r="N81" i="3"/>
  <c r="L81" i="3"/>
  <c r="B81" i="3"/>
  <c r="Z80" i="3"/>
  <c r="X80" i="3"/>
  <c r="L80" i="3"/>
  <c r="N80" i="3" s="1"/>
  <c r="B80" i="3"/>
  <c r="Z79" i="3"/>
  <c r="X79" i="3"/>
  <c r="N79" i="3"/>
  <c r="L79" i="3"/>
  <c r="J79" i="3"/>
  <c r="B79" i="3"/>
  <c r="Z78" i="3"/>
  <c r="X78" i="3"/>
  <c r="N78" i="3"/>
  <c r="L78" i="3"/>
  <c r="B78" i="3"/>
  <c r="Z77" i="3"/>
  <c r="X77" i="3"/>
  <c r="N77" i="3"/>
  <c r="L77" i="3"/>
  <c r="B77" i="3"/>
  <c r="X76" i="3"/>
  <c r="Z76" i="3" s="1"/>
  <c r="N76" i="3"/>
  <c r="L76" i="3"/>
  <c r="B76" i="3"/>
  <c r="V75" i="3"/>
  <c r="T75" i="3"/>
  <c r="P75" i="3"/>
  <c r="X75" i="3" s="1"/>
  <c r="H75" i="3"/>
  <c r="D75" i="3"/>
  <c r="L75" i="3" s="1"/>
  <c r="N75" i="3" s="1"/>
  <c r="B75" i="3"/>
  <c r="X74" i="3"/>
  <c r="Z74" i="3" s="1"/>
  <c r="L74" i="3"/>
  <c r="N74" i="3" s="1"/>
  <c r="B74" i="3"/>
  <c r="Z73" i="3"/>
  <c r="X73" i="3"/>
  <c r="N73" i="3"/>
  <c r="L73" i="3"/>
  <c r="B73" i="3"/>
  <c r="X72" i="3"/>
  <c r="Z72" i="3" s="1"/>
  <c r="N72" i="3"/>
  <c r="L72" i="3"/>
  <c r="B72" i="3"/>
  <c r="Z71" i="3"/>
  <c r="X71" i="3"/>
  <c r="V71" i="3"/>
  <c r="N71" i="3"/>
  <c r="L71" i="3"/>
  <c r="J71" i="3"/>
  <c r="B71" i="3"/>
  <c r="Z70" i="3"/>
  <c r="X70" i="3"/>
  <c r="N70" i="3"/>
  <c r="L70" i="3"/>
  <c r="B70" i="3"/>
  <c r="Z69" i="3"/>
  <c r="X69" i="3"/>
  <c r="N69" i="3"/>
  <c r="L69" i="3"/>
  <c r="B69" i="3"/>
  <c r="Z68" i="3"/>
  <c r="X68" i="3"/>
  <c r="L68" i="3"/>
  <c r="N68" i="3" s="1"/>
  <c r="B68" i="3"/>
  <c r="Z67" i="3"/>
  <c r="X67" i="3"/>
  <c r="L67" i="3"/>
  <c r="N67" i="3" s="1"/>
  <c r="J67" i="3"/>
  <c r="B67" i="3"/>
  <c r="X66" i="3"/>
  <c r="Z66" i="3" s="1"/>
  <c r="L66" i="3"/>
  <c r="N66" i="3" s="1"/>
  <c r="J66" i="3"/>
  <c r="B66" i="3"/>
  <c r="Z65" i="3"/>
  <c r="X65" i="3"/>
  <c r="N65" i="3"/>
  <c r="L65" i="3"/>
  <c r="B65" i="3"/>
  <c r="T64" i="3"/>
  <c r="Z64" i="3" s="1"/>
  <c r="P64" i="3"/>
  <c r="X64" i="3" s="1"/>
  <c r="H64" i="3"/>
  <c r="D64" i="3"/>
  <c r="L64" i="3" s="1"/>
  <c r="N64" i="3" s="1"/>
  <c r="B64" i="3"/>
  <c r="Z63" i="3"/>
  <c r="X63" i="3"/>
  <c r="T63" i="3"/>
  <c r="P63" i="3"/>
  <c r="N63" i="3"/>
  <c r="L63" i="3"/>
  <c r="H63" i="3"/>
  <c r="D63" i="3"/>
  <c r="Z59" i="3"/>
  <c r="X59" i="3"/>
  <c r="N59" i="3"/>
  <c r="L59" i="3"/>
  <c r="J59" i="3"/>
  <c r="B59" i="3"/>
  <c r="Z58" i="3"/>
  <c r="X58" i="3"/>
  <c r="N58" i="3"/>
  <c r="L58" i="3"/>
  <c r="J58" i="3"/>
  <c r="B58" i="3"/>
  <c r="Z57" i="3"/>
  <c r="X57" i="3"/>
  <c r="N57" i="3"/>
  <c r="L57" i="3"/>
  <c r="B57" i="3"/>
  <c r="Z56" i="3"/>
  <c r="X56" i="3"/>
  <c r="N56" i="3"/>
  <c r="L56" i="3"/>
  <c r="B56" i="3"/>
  <c r="Z55" i="3"/>
  <c r="X55" i="3"/>
  <c r="V55" i="3"/>
  <c r="N55" i="3"/>
  <c r="L55" i="3"/>
  <c r="J55" i="3"/>
  <c r="B55" i="3"/>
  <c r="Z54" i="3"/>
  <c r="X54" i="3"/>
  <c r="N54" i="3"/>
  <c r="L54" i="3"/>
  <c r="B54" i="3"/>
  <c r="Z53" i="3"/>
  <c r="X53" i="3"/>
  <c r="N53" i="3"/>
  <c r="L53" i="3"/>
  <c r="B53" i="3"/>
  <c r="Z52" i="3"/>
  <c r="X52" i="3"/>
  <c r="N52" i="3"/>
  <c r="L52" i="3"/>
  <c r="B52" i="3"/>
  <c r="Z51" i="3"/>
  <c r="X51" i="3"/>
  <c r="N51" i="3"/>
  <c r="L51" i="3"/>
  <c r="J51" i="3"/>
  <c r="B51" i="3"/>
  <c r="Z50" i="3"/>
  <c r="X50" i="3"/>
  <c r="N50" i="3"/>
  <c r="L50" i="3"/>
  <c r="J50" i="3"/>
  <c r="B50" i="3"/>
  <c r="Z49" i="3"/>
  <c r="X49" i="3"/>
  <c r="N49" i="3"/>
  <c r="L49" i="3"/>
  <c r="J49" i="3"/>
  <c r="B49" i="3"/>
  <c r="Z48" i="3"/>
  <c r="X48" i="3"/>
  <c r="N48" i="3"/>
  <c r="L48" i="3"/>
  <c r="B48" i="3"/>
  <c r="Z47" i="3"/>
  <c r="X47" i="3"/>
  <c r="V47" i="3"/>
  <c r="N47" i="3"/>
  <c r="L47" i="3"/>
  <c r="J47" i="3"/>
  <c r="B47" i="3"/>
  <c r="Z46" i="3"/>
  <c r="X46" i="3"/>
  <c r="N46" i="3"/>
  <c r="L46" i="3"/>
  <c r="B46" i="3"/>
  <c r="Z45" i="3"/>
  <c r="X45" i="3"/>
  <c r="N45" i="3"/>
  <c r="L45" i="3"/>
  <c r="B45" i="3"/>
  <c r="Z44" i="3"/>
  <c r="X44" i="3"/>
  <c r="N44" i="3"/>
  <c r="L44" i="3"/>
  <c r="B44" i="3"/>
  <c r="Z43" i="3"/>
  <c r="X43" i="3"/>
  <c r="N43" i="3"/>
  <c r="L43" i="3"/>
  <c r="J43" i="3"/>
  <c r="B43" i="3"/>
  <c r="Z42" i="3"/>
  <c r="X42" i="3"/>
  <c r="N42" i="3"/>
  <c r="L42" i="3"/>
  <c r="J42" i="3"/>
  <c r="B42" i="3"/>
  <c r="Z41" i="3"/>
  <c r="X41" i="3"/>
  <c r="N41" i="3"/>
  <c r="L41" i="3"/>
  <c r="J41" i="3"/>
  <c r="B41" i="3"/>
  <c r="Z40" i="3"/>
  <c r="X40" i="3"/>
  <c r="N40" i="3"/>
  <c r="L40" i="3"/>
  <c r="J40" i="3"/>
  <c r="B40" i="3"/>
  <c r="Z39" i="3"/>
  <c r="X39" i="3"/>
  <c r="V39" i="3"/>
  <c r="N39" i="3"/>
  <c r="L39" i="3"/>
  <c r="J39" i="3"/>
  <c r="B39" i="3"/>
  <c r="Z38" i="3"/>
  <c r="X38" i="3"/>
  <c r="N38" i="3"/>
  <c r="L38" i="3"/>
  <c r="B38" i="3"/>
  <c r="Z37" i="3"/>
  <c r="X37" i="3"/>
  <c r="N37" i="3"/>
  <c r="L37" i="3"/>
  <c r="B37" i="3"/>
  <c r="Z36" i="3"/>
  <c r="X36" i="3"/>
  <c r="N36" i="3"/>
  <c r="L36" i="3"/>
  <c r="B36" i="3"/>
  <c r="Z35" i="3"/>
  <c r="X35" i="3"/>
  <c r="N35" i="3"/>
  <c r="L35" i="3"/>
  <c r="J35" i="3"/>
  <c r="B35" i="3"/>
  <c r="Z34" i="3"/>
  <c r="X34" i="3"/>
  <c r="N34" i="3"/>
  <c r="L34" i="3"/>
  <c r="J34" i="3"/>
  <c r="B34" i="3"/>
  <c r="Z33" i="3"/>
  <c r="X33" i="3"/>
  <c r="N33" i="3"/>
  <c r="L33" i="3"/>
  <c r="J33" i="3"/>
  <c r="B33" i="3"/>
  <c r="Z32" i="3"/>
  <c r="X32" i="3"/>
  <c r="N32" i="3"/>
  <c r="L32" i="3"/>
  <c r="J32" i="3"/>
  <c r="B32" i="3"/>
  <c r="Z31" i="3"/>
  <c r="X31" i="3"/>
  <c r="V31" i="3"/>
  <c r="N31" i="3"/>
  <c r="L31" i="3"/>
  <c r="J31" i="3"/>
  <c r="B31" i="3"/>
  <c r="Z30" i="3"/>
  <c r="X30" i="3"/>
  <c r="N30" i="3"/>
  <c r="L30" i="3"/>
  <c r="B30" i="3"/>
  <c r="Z29" i="3"/>
  <c r="X29" i="3"/>
  <c r="N29" i="3"/>
  <c r="L29" i="3"/>
  <c r="B29" i="3"/>
  <c r="Z28" i="3"/>
  <c r="X28" i="3"/>
  <c r="N28" i="3"/>
  <c r="L28" i="3"/>
  <c r="B28" i="3"/>
  <c r="Z27" i="3"/>
  <c r="X27" i="3"/>
  <c r="N27" i="3"/>
  <c r="L27" i="3"/>
  <c r="J27" i="3"/>
  <c r="B27" i="3"/>
  <c r="Z26" i="3"/>
  <c r="X26" i="3"/>
  <c r="N26" i="3"/>
  <c r="L26" i="3"/>
  <c r="J26" i="3"/>
  <c r="B26" i="3"/>
  <c r="Z25" i="3"/>
  <c r="X25" i="3"/>
  <c r="N25" i="3"/>
  <c r="L25" i="3"/>
  <c r="J25" i="3"/>
  <c r="B25" i="3"/>
  <c r="T24" i="3"/>
  <c r="P24" i="3"/>
  <c r="X24" i="3" s="1"/>
  <c r="H24" i="3"/>
  <c r="D24" i="3"/>
  <c r="L24" i="3" s="1"/>
  <c r="N24" i="3" s="1"/>
  <c r="Z22" i="3"/>
  <c r="X22" i="3"/>
  <c r="P22" i="3"/>
  <c r="N22" i="3"/>
  <c r="L22" i="3"/>
  <c r="D22" i="3"/>
  <c r="B22" i="3"/>
  <c r="Z21" i="3"/>
  <c r="X21" i="3"/>
  <c r="P21" i="3"/>
  <c r="N21" i="3"/>
  <c r="L21" i="3"/>
  <c r="D21" i="3"/>
  <c r="B21" i="3"/>
  <c r="Z20" i="3"/>
  <c r="X20" i="3"/>
  <c r="P20" i="3"/>
  <c r="N20" i="3"/>
  <c r="D20" i="3"/>
  <c r="L20" i="3" s="1"/>
  <c r="B20" i="3"/>
  <c r="Z19" i="3"/>
  <c r="P19" i="3"/>
  <c r="X19" i="3" s="1"/>
  <c r="N19" i="3"/>
  <c r="L19" i="3"/>
  <c r="D19" i="3"/>
  <c r="B19" i="3"/>
  <c r="Z18" i="3"/>
  <c r="P18" i="3"/>
  <c r="X18" i="3" s="1"/>
  <c r="N18" i="3"/>
  <c r="L18" i="3"/>
  <c r="D18" i="3"/>
  <c r="B18" i="3"/>
  <c r="Z17" i="3"/>
  <c r="X17" i="3"/>
  <c r="P17" i="3"/>
  <c r="N17" i="3"/>
  <c r="L17" i="3"/>
  <c r="D17" i="3"/>
  <c r="B17" i="3"/>
  <c r="X16" i="3"/>
  <c r="Z16" i="3" s="1"/>
  <c r="P16" i="3"/>
  <c r="D16" i="3"/>
  <c r="L16" i="3" s="1"/>
  <c r="N16" i="3" s="1"/>
  <c r="B16" i="3"/>
  <c r="Z15" i="3"/>
  <c r="P15" i="3"/>
  <c r="P12" i="3" s="1"/>
  <c r="N15" i="3"/>
  <c r="D15" i="3"/>
  <c r="L15" i="3" s="1"/>
  <c r="B15" i="3"/>
  <c r="Z14" i="3"/>
  <c r="X14" i="3"/>
  <c r="P14" i="3"/>
  <c r="N14" i="3"/>
  <c r="L14" i="3"/>
  <c r="D14" i="3"/>
  <c r="B14" i="3"/>
  <c r="Z13" i="3"/>
  <c r="X13" i="3"/>
  <c r="P13" i="3"/>
  <c r="L13" i="3"/>
  <c r="N13" i="3" s="1"/>
  <c r="D13" i="3"/>
  <c r="D12" i="3" s="1"/>
  <c r="B13" i="3"/>
  <c r="T12" i="3"/>
  <c r="V181" i="3" s="1"/>
  <c r="H12" i="3"/>
  <c r="J176" i="3" s="1"/>
  <c r="D4" i="3"/>
  <c r="X13" i="94" l="1"/>
  <c r="X25" i="94"/>
  <c r="X33" i="94"/>
  <c r="L25" i="4"/>
  <c r="X13" i="23"/>
  <c r="X25" i="23"/>
  <c r="X33" i="23"/>
  <c r="X24" i="4"/>
  <c r="L29" i="4"/>
  <c r="L25" i="35"/>
  <c r="L33" i="35"/>
  <c r="X13" i="44"/>
  <c r="X16" i="52"/>
  <c r="X13" i="53"/>
  <c r="X13" i="35"/>
  <c r="L24" i="53"/>
  <c r="X15" i="8"/>
  <c r="X34" i="8"/>
  <c r="X22" i="22"/>
  <c r="X16" i="7"/>
  <c r="X25" i="53"/>
  <c r="L15" i="96"/>
  <c r="X25" i="44"/>
  <c r="L21" i="5"/>
  <c r="L13" i="28"/>
  <c r="X21" i="35"/>
  <c r="X13" i="38"/>
  <c r="L21" i="38"/>
  <c r="X25" i="38"/>
  <c r="L22" i="43"/>
  <c r="X34" i="44"/>
  <c r="X24" i="49"/>
  <c r="X34" i="53"/>
  <c r="X20" i="4"/>
  <c r="L22" i="4"/>
  <c r="X24" i="10"/>
  <c r="L33" i="14"/>
  <c r="L21" i="17"/>
  <c r="X25" i="17"/>
  <c r="X33" i="17"/>
  <c r="L13" i="29"/>
  <c r="L25" i="29"/>
  <c r="L21" i="34"/>
  <c r="X33" i="40"/>
  <c r="X29" i="11"/>
  <c r="X34" i="11"/>
  <c r="L20" i="16"/>
  <c r="L15" i="17"/>
  <c r="L15" i="20"/>
  <c r="X33" i="29"/>
  <c r="L16" i="31"/>
  <c r="L13" i="32"/>
  <c r="L20" i="44"/>
  <c r="X16" i="47"/>
  <c r="X24" i="96"/>
  <c r="X22" i="10"/>
  <c r="L20" i="13"/>
  <c r="X21" i="14"/>
  <c r="L22" i="16"/>
  <c r="X20" i="26"/>
  <c r="X24" i="28"/>
  <c r="L24" i="31"/>
  <c r="L34" i="37"/>
  <c r="X34" i="50"/>
  <c r="L21" i="35"/>
  <c r="X21" i="53"/>
  <c r="L29" i="53"/>
  <c r="X25" i="32"/>
  <c r="N12" i="35"/>
  <c r="X29" i="53"/>
  <c r="L20" i="4"/>
  <c r="X13" i="11"/>
  <c r="L21" i="11"/>
  <c r="L22" i="13"/>
  <c r="L25" i="17"/>
  <c r="X25" i="25"/>
  <c r="X33" i="25"/>
  <c r="L22" i="28"/>
  <c r="X15" i="29"/>
  <c r="L34" i="32"/>
  <c r="L13" i="34"/>
  <c r="L33" i="34"/>
  <c r="X29" i="35"/>
  <c r="X34" i="35"/>
  <c r="L33" i="44"/>
  <c r="X20" i="46"/>
  <c r="X15" i="47"/>
  <c r="X34" i="49"/>
  <c r="X13" i="95"/>
  <c r="L21" i="95"/>
  <c r="L13" i="96"/>
  <c r="L33" i="96"/>
  <c r="X24" i="7"/>
  <c r="L15" i="8"/>
  <c r="L15" i="10"/>
  <c r="L34" i="10"/>
  <c r="L24" i="11"/>
  <c r="L21" i="16"/>
  <c r="X13" i="19"/>
  <c r="X25" i="19"/>
  <c r="L22" i="22"/>
  <c r="L24" i="25"/>
  <c r="X34" i="37"/>
  <c r="L20" i="38"/>
  <c r="L13" i="40"/>
  <c r="L25" i="40"/>
  <c r="X15" i="4"/>
  <c r="X16" i="8"/>
  <c r="L24" i="8"/>
  <c r="X25" i="10"/>
  <c r="X33" i="10"/>
  <c r="X24" i="14"/>
  <c r="L13" i="16"/>
  <c r="X20" i="16"/>
  <c r="L25" i="16"/>
  <c r="L13" i="19"/>
  <c r="X34" i="20"/>
  <c r="L15" i="22"/>
  <c r="X29" i="26"/>
  <c r="X34" i="26"/>
  <c r="L29" i="28"/>
  <c r="L34" i="28"/>
  <c r="X16" i="40"/>
  <c r="L24" i="40"/>
  <c r="L21" i="41"/>
  <c r="X33" i="41"/>
  <c r="L24" i="44"/>
  <c r="L20" i="43"/>
  <c r="X34" i="14"/>
  <c r="X13" i="4"/>
  <c r="L13" i="7"/>
  <c r="L33" i="7"/>
  <c r="X20" i="10"/>
  <c r="X16" i="17"/>
  <c r="L24" i="17"/>
  <c r="X21" i="19"/>
  <c r="L22" i="23"/>
  <c r="X33" i="26"/>
  <c r="X24" i="32"/>
  <c r="X34" i="41"/>
  <c r="L16" i="43"/>
  <c r="X24" i="50"/>
  <c r="L33" i="52"/>
  <c r="X20" i="96"/>
  <c r="L22" i="11"/>
  <c r="L34" i="13"/>
  <c r="R24" i="25"/>
  <c r="L34" i="26"/>
  <c r="X13" i="28"/>
  <c r="L25" i="37"/>
  <c r="X29" i="38"/>
  <c r="X34" i="38"/>
  <c r="L16" i="40"/>
  <c r="X25" i="43"/>
  <c r="X33" i="52"/>
  <c r="X16" i="95"/>
  <c r="X29" i="19"/>
  <c r="L24" i="4"/>
  <c r="X33" i="4"/>
  <c r="L16" i="5"/>
  <c r="L13" i="8"/>
  <c r="L25" i="8"/>
  <c r="L25" i="14"/>
  <c r="X20" i="19"/>
  <c r="L22" i="19"/>
  <c r="R29" i="19"/>
  <c r="L20" i="20"/>
  <c r="X24" i="20"/>
  <c r="L34" i="20"/>
  <c r="X13" i="22"/>
  <c r="X33" i="22"/>
  <c r="L13" i="23"/>
  <c r="X16" i="26"/>
  <c r="L24" i="26"/>
  <c r="L25" i="28"/>
  <c r="X29" i="29"/>
  <c r="X20" i="34"/>
  <c r="X29" i="34"/>
  <c r="X22" i="38"/>
  <c r="L15" i="40"/>
  <c r="L29" i="40"/>
  <c r="X13" i="41"/>
  <c r="L15" i="43"/>
  <c r="X16" i="43"/>
  <c r="L24" i="43"/>
  <c r="X22" i="44"/>
  <c r="L25" i="46"/>
  <c r="L33" i="46"/>
  <c r="X20" i="47"/>
  <c r="L34" i="50"/>
  <c r="X29" i="52"/>
  <c r="X24" i="53"/>
  <c r="X34" i="95"/>
  <c r="X16" i="96"/>
  <c r="L24" i="13"/>
  <c r="X20" i="35"/>
  <c r="L22" i="35"/>
  <c r="X29" i="50"/>
  <c r="L16" i="52"/>
  <c r="L13" i="95"/>
  <c r="L29" i="7"/>
  <c r="L29" i="16"/>
  <c r="L34" i="16"/>
  <c r="F16" i="17"/>
  <c r="X16" i="28"/>
  <c r="L21" i="29"/>
  <c r="J25" i="29"/>
  <c r="L34" i="38"/>
  <c r="L22" i="40"/>
  <c r="L20" i="41"/>
  <c r="X29" i="43"/>
  <c r="X34" i="43"/>
  <c r="X16" i="46"/>
  <c r="L21" i="49"/>
  <c r="X22" i="49"/>
  <c r="L24" i="94"/>
  <c r="X22" i="95"/>
  <c r="X34" i="96"/>
  <c r="L29" i="8"/>
  <c r="X34" i="5"/>
  <c r="L22" i="7"/>
  <c r="X29" i="7"/>
  <c r="L20" i="8"/>
  <c r="X21" i="10"/>
  <c r="X13" i="25"/>
  <c r="X34" i="28"/>
  <c r="L20" i="29"/>
  <c r="X16" i="35"/>
  <c r="X22" i="37"/>
  <c r="X20" i="38"/>
  <c r="X25" i="40"/>
  <c r="X22" i="43"/>
  <c r="X29" i="46"/>
  <c r="X34" i="46"/>
  <c r="L20" i="47"/>
  <c r="L34" i="47"/>
  <c r="L29" i="49"/>
  <c r="X33" i="50"/>
  <c r="L15" i="95"/>
  <c r="X21" i="95"/>
  <c r="L29" i="95"/>
  <c r="L34" i="95"/>
  <c r="X13" i="96"/>
  <c r="L22" i="5"/>
  <c r="X16" i="13"/>
  <c r="X21" i="13"/>
  <c r="J18" i="20"/>
  <c r="L33" i="22"/>
  <c r="L21" i="25"/>
  <c r="D18" i="29"/>
  <c r="L22" i="31"/>
  <c r="X16" i="32"/>
  <c r="L24" i="32"/>
  <c r="L22" i="41"/>
  <c r="L25" i="49"/>
  <c r="L33" i="49"/>
  <c r="Z34" i="49"/>
  <c r="J15" i="50"/>
  <c r="X21" i="50"/>
  <c r="F16" i="52"/>
  <c r="L20" i="53"/>
  <c r="Z12" i="94"/>
  <c r="L21" i="94"/>
  <c r="R33" i="10"/>
  <c r="L16" i="11"/>
  <c r="L20" i="32"/>
  <c r="X13" i="43"/>
  <c r="L29" i="94"/>
  <c r="L34" i="94"/>
  <c r="L16" i="95"/>
  <c r="L22" i="95"/>
  <c r="L33" i="95"/>
  <c r="R18" i="96"/>
  <c r="L29" i="96"/>
  <c r="L34" i="96"/>
  <c r="F16" i="5"/>
  <c r="X15" i="13"/>
  <c r="N24" i="13"/>
  <c r="X25" i="28"/>
  <c r="L13" i="37"/>
  <c r="L22" i="37"/>
  <c r="L12" i="52"/>
  <c r="F33" i="52"/>
  <c r="X20" i="8"/>
  <c r="X16" i="11"/>
  <c r="X25" i="11"/>
  <c r="X24" i="13"/>
  <c r="L15" i="14"/>
  <c r="L16" i="16"/>
  <c r="X21" i="17"/>
  <c r="X16" i="19"/>
  <c r="L24" i="19"/>
  <c r="L24" i="22"/>
  <c r="X15" i="25"/>
  <c r="L21" i="26"/>
  <c r="L24" i="28"/>
  <c r="X33" i="28"/>
  <c r="X25" i="31"/>
  <c r="X29" i="32"/>
  <c r="L29" i="44"/>
  <c r="L12" i="46"/>
  <c r="X33" i="46"/>
  <c r="L16" i="47"/>
  <c r="X34" i="47"/>
  <c r="L22" i="50"/>
  <c r="X25" i="52"/>
  <c r="L25" i="53"/>
  <c r="L33" i="53"/>
  <c r="L16" i="94"/>
  <c r="R18" i="19"/>
  <c r="L25" i="20"/>
  <c r="X33" i="43"/>
  <c r="N12" i="95"/>
  <c r="L24" i="7"/>
  <c r="X33" i="7"/>
  <c r="X22" i="8"/>
  <c r="L13" i="10"/>
  <c r="L22" i="10"/>
  <c r="L20" i="11"/>
  <c r="L16" i="13"/>
  <c r="L24" i="14"/>
  <c r="L24" i="16"/>
  <c r="X33" i="19"/>
  <c r="F25" i="20"/>
  <c r="L34" i="22"/>
  <c r="X20" i="25"/>
  <c r="L22" i="25"/>
  <c r="X21" i="28"/>
  <c r="X21" i="31"/>
  <c r="X33" i="31"/>
  <c r="X22" i="32"/>
  <c r="L25" i="32"/>
  <c r="L15" i="34"/>
  <c r="L24" i="34"/>
  <c r="L13" i="35"/>
  <c r="X24" i="35"/>
  <c r="L29" i="35"/>
  <c r="L34" i="35"/>
  <c r="L21" i="37"/>
  <c r="X25" i="37"/>
  <c r="X15" i="43"/>
  <c r="X13" i="47"/>
  <c r="F33" i="47"/>
  <c r="L29" i="52"/>
  <c r="J18" i="95"/>
  <c r="L33" i="4"/>
  <c r="X15" i="5"/>
  <c r="X13" i="8"/>
  <c r="L21" i="8"/>
  <c r="X25" i="8"/>
  <c r="X33" i="8"/>
  <c r="L25" i="10"/>
  <c r="L33" i="10"/>
  <c r="X22" i="13"/>
  <c r="X20" i="14"/>
  <c r="L15" i="16"/>
  <c r="X21" i="16"/>
  <c r="L22" i="17"/>
  <c r="X34" i="17"/>
  <c r="L21" i="20"/>
  <c r="L33" i="20"/>
  <c r="L16" i="25"/>
  <c r="X20" i="28"/>
  <c r="X24" i="31"/>
  <c r="L29" i="31"/>
  <c r="L16" i="38"/>
  <c r="X22" i="40"/>
  <c r="L29" i="43"/>
  <c r="L22" i="44"/>
  <c r="X24" i="46"/>
  <c r="L15" i="47"/>
  <c r="L21" i="47"/>
  <c r="X13" i="49"/>
  <c r="L16" i="49"/>
  <c r="L15" i="50"/>
  <c r="X22" i="50"/>
  <c r="L25" i="50"/>
  <c r="L33" i="50"/>
  <c r="X20" i="52"/>
  <c r="L15" i="94"/>
  <c r="X15" i="95"/>
  <c r="X24" i="95"/>
  <c r="F24" i="13"/>
  <c r="F16" i="13"/>
  <c r="L13" i="4"/>
  <c r="L16" i="4"/>
  <c r="R20" i="5"/>
  <c r="X12" i="5"/>
  <c r="L33" i="16"/>
  <c r="V34" i="17"/>
  <c r="V16" i="17"/>
  <c r="V20" i="17"/>
  <c r="V21" i="17"/>
  <c r="Z12" i="17"/>
  <c r="L15" i="4"/>
  <c r="J20" i="26"/>
  <c r="N12" i="26"/>
  <c r="X16" i="4"/>
  <c r="X21" i="4"/>
  <c r="R34" i="7"/>
  <c r="R25" i="7"/>
  <c r="R22" i="7"/>
  <c r="V36" i="46"/>
  <c r="V27" i="49"/>
  <c r="R20" i="94"/>
  <c r="V18" i="5"/>
  <c r="X21" i="8"/>
  <c r="X20" i="13"/>
  <c r="X21" i="20"/>
  <c r="D18" i="26"/>
  <c r="X25" i="26"/>
  <c r="J15" i="31"/>
  <c r="T18" i="31"/>
  <c r="N12" i="32"/>
  <c r="V21" i="34"/>
  <c r="R16" i="35"/>
  <c r="X15" i="38"/>
  <c r="X16" i="38"/>
  <c r="J22" i="38"/>
  <c r="J15" i="40"/>
  <c r="X20" i="41"/>
  <c r="N20" i="43"/>
  <c r="F25" i="43"/>
  <c r="P18" i="44"/>
  <c r="P27" i="44" s="1"/>
  <c r="R22" i="44"/>
  <c r="F29" i="46"/>
  <c r="R33" i="46"/>
  <c r="Z12" i="47"/>
  <c r="F15" i="47"/>
  <c r="V25" i="47"/>
  <c r="V16" i="49"/>
  <c r="H18" i="50"/>
  <c r="H27" i="50" s="1"/>
  <c r="H31" i="50" s="1"/>
  <c r="N12" i="52"/>
  <c r="D18" i="52"/>
  <c r="L22" i="52"/>
  <c r="R18" i="53"/>
  <c r="L20" i="95"/>
  <c r="N22" i="95"/>
  <c r="L25" i="95"/>
  <c r="Z21" i="8"/>
  <c r="R33" i="8"/>
  <c r="X24" i="16"/>
  <c r="J15" i="17"/>
  <c r="L16" i="19"/>
  <c r="L33" i="19"/>
  <c r="X34" i="19"/>
  <c r="Z21" i="20"/>
  <c r="J24" i="20"/>
  <c r="X22" i="23"/>
  <c r="N12" i="28"/>
  <c r="X24" i="29"/>
  <c r="L13" i="31"/>
  <c r="X15" i="31"/>
  <c r="L20" i="31"/>
  <c r="J33" i="31"/>
  <c r="J36" i="31"/>
  <c r="L15" i="32"/>
  <c r="L21" i="32"/>
  <c r="L29" i="34"/>
  <c r="V22" i="37"/>
  <c r="X21" i="40"/>
  <c r="N12" i="41"/>
  <c r="F22" i="41"/>
  <c r="L12" i="43"/>
  <c r="X20" i="43"/>
  <c r="R15" i="46"/>
  <c r="L13" i="49"/>
  <c r="L20" i="49"/>
  <c r="L13" i="50"/>
  <c r="J18" i="50"/>
  <c r="J21" i="50"/>
  <c r="F34" i="50"/>
  <c r="R15" i="53"/>
  <c r="X22" i="7"/>
  <c r="N12" i="19"/>
  <c r="V16" i="23"/>
  <c r="X15" i="26"/>
  <c r="L20" i="26"/>
  <c r="R21" i="26"/>
  <c r="V36" i="26"/>
  <c r="V21" i="31"/>
  <c r="X15" i="37"/>
  <c r="F18" i="37"/>
  <c r="L24" i="37"/>
  <c r="X33" i="37"/>
  <c r="J21" i="38"/>
  <c r="R21" i="44"/>
  <c r="L25" i="44"/>
  <c r="R29" i="44"/>
  <c r="V18" i="46"/>
  <c r="R18" i="47"/>
  <c r="F29" i="47"/>
  <c r="F34" i="49"/>
  <c r="J22" i="52"/>
  <c r="N24" i="53"/>
  <c r="F18" i="94"/>
  <c r="F22" i="94"/>
  <c r="X24" i="94"/>
  <c r="X20" i="95"/>
  <c r="X34" i="4"/>
  <c r="N12" i="5"/>
  <c r="X13" i="5"/>
  <c r="X20" i="5"/>
  <c r="L34" i="5"/>
  <c r="L15" i="7"/>
  <c r="L34" i="7"/>
  <c r="L34" i="8"/>
  <c r="X16" i="10"/>
  <c r="Z12" i="13"/>
  <c r="X34" i="13"/>
  <c r="Z20" i="16"/>
  <c r="N12" i="20"/>
  <c r="L16" i="20"/>
  <c r="J31" i="20"/>
  <c r="J34" i="20"/>
  <c r="X15" i="23"/>
  <c r="X24" i="26"/>
  <c r="L15" i="28"/>
  <c r="L16" i="29"/>
  <c r="L29" i="29"/>
  <c r="X20" i="31"/>
  <c r="X15" i="32"/>
  <c r="F18" i="32"/>
  <c r="X21" i="32"/>
  <c r="L33" i="32"/>
  <c r="X13" i="34"/>
  <c r="L34" i="34"/>
  <c r="L24" i="35"/>
  <c r="X25" i="35"/>
  <c r="X33" i="35"/>
  <c r="L20" i="37"/>
  <c r="L24" i="38"/>
  <c r="L33" i="40"/>
  <c r="V16" i="41"/>
  <c r="F36" i="43"/>
  <c r="V15" i="46"/>
  <c r="J22" i="46"/>
  <c r="R29" i="46"/>
  <c r="V16" i="52"/>
  <c r="V33" i="52"/>
  <c r="F21" i="94"/>
  <c r="Z24" i="94"/>
  <c r="R20" i="95"/>
  <c r="J22" i="96"/>
  <c r="V16" i="13"/>
  <c r="V22" i="13"/>
  <c r="X16" i="16"/>
  <c r="X13" i="17"/>
  <c r="R33" i="19"/>
  <c r="R36" i="19"/>
  <c r="L21" i="22"/>
  <c r="V36" i="43"/>
  <c r="X20" i="44"/>
  <c r="R22" i="47"/>
  <c r="L25" i="47"/>
  <c r="R20" i="49"/>
  <c r="V31" i="49"/>
  <c r="J24" i="50"/>
  <c r="V15" i="52"/>
  <c r="F25" i="52"/>
  <c r="L16" i="53"/>
  <c r="X22" i="94"/>
  <c r="X34" i="94"/>
  <c r="R15" i="96"/>
  <c r="F18" i="96"/>
  <c r="L25" i="96"/>
  <c r="X25" i="7"/>
  <c r="L13" i="13"/>
  <c r="V15" i="13"/>
  <c r="V36" i="13"/>
  <c r="R18" i="14"/>
  <c r="L29" i="14"/>
  <c r="F21" i="17"/>
  <c r="X22" i="19"/>
  <c r="X24" i="19"/>
  <c r="J15" i="20"/>
  <c r="R16" i="20"/>
  <c r="J27" i="20"/>
  <c r="J21" i="22"/>
  <c r="X15" i="28"/>
  <c r="L15" i="29"/>
  <c r="L25" i="31"/>
  <c r="X33" i="32"/>
  <c r="Z29" i="34"/>
  <c r="X34" i="34"/>
  <c r="J24" i="38"/>
  <c r="J27" i="38"/>
  <c r="L13" i="41"/>
  <c r="F20" i="41"/>
  <c r="X21" i="41"/>
  <c r="F18" i="43"/>
  <c r="F29" i="43"/>
  <c r="X12" i="44"/>
  <c r="X24" i="44"/>
  <c r="R25" i="44"/>
  <c r="N12" i="46"/>
  <c r="J20" i="46"/>
  <c r="X21" i="47"/>
  <c r="F16" i="94"/>
  <c r="V20" i="95"/>
  <c r="X25" i="4"/>
  <c r="X16" i="5"/>
  <c r="X20" i="7"/>
  <c r="J25" i="8"/>
  <c r="L33" i="8"/>
  <c r="P18" i="10"/>
  <c r="L24" i="10"/>
  <c r="L13" i="11"/>
  <c r="X15" i="14"/>
  <c r="L21" i="14"/>
  <c r="X12" i="17"/>
  <c r="F20" i="17"/>
  <c r="P18" i="19"/>
  <c r="P27" i="19" s="1"/>
  <c r="P31" i="19" s="1"/>
  <c r="Z16" i="19"/>
  <c r="R22" i="19"/>
  <c r="L29" i="20"/>
  <c r="X15" i="22"/>
  <c r="L29" i="22"/>
  <c r="L16" i="23"/>
  <c r="X34" i="23"/>
  <c r="X22" i="25"/>
  <c r="X29" i="25"/>
  <c r="L34" i="25"/>
  <c r="X13" i="26"/>
  <c r="L16" i="26"/>
  <c r="L33" i="28"/>
  <c r="X34" i="29"/>
  <c r="L21" i="31"/>
  <c r="X22" i="31"/>
  <c r="X34" i="31"/>
  <c r="L16" i="32"/>
  <c r="L22" i="32"/>
  <c r="X12" i="34"/>
  <c r="X21" i="34"/>
  <c r="V31" i="34"/>
  <c r="L15" i="35"/>
  <c r="L16" i="37"/>
  <c r="X29" i="37"/>
  <c r="L12" i="40"/>
  <c r="V22" i="41"/>
  <c r="L34" i="43"/>
  <c r="R24" i="44"/>
  <c r="L15" i="46"/>
  <c r="Z13" i="47"/>
  <c r="R21" i="47"/>
  <c r="L24" i="47"/>
  <c r="L33" i="47"/>
  <c r="R16" i="49"/>
  <c r="V20" i="49"/>
  <c r="L21" i="53"/>
  <c r="X22" i="53"/>
  <c r="X21" i="94"/>
  <c r="L20" i="96"/>
  <c r="X21" i="96"/>
  <c r="X25" i="96"/>
  <c r="J21" i="4"/>
  <c r="J24" i="4"/>
  <c r="J25" i="4"/>
  <c r="R33" i="4"/>
  <c r="L20" i="5"/>
  <c r="R15" i="7"/>
  <c r="J21" i="8"/>
  <c r="J24" i="8"/>
  <c r="J31" i="8"/>
  <c r="L16" i="10"/>
  <c r="R18" i="10"/>
  <c r="F22" i="10"/>
  <c r="X29" i="10"/>
  <c r="Z12" i="11"/>
  <c r="H18" i="11"/>
  <c r="H27" i="11" s="1"/>
  <c r="H31" i="11" s="1"/>
  <c r="X20" i="11"/>
  <c r="V21" i="11"/>
  <c r="J34" i="11"/>
  <c r="Z16" i="13"/>
  <c r="V20" i="13"/>
  <c r="R21" i="13"/>
  <c r="R22" i="13"/>
  <c r="X29" i="13"/>
  <c r="L22" i="14"/>
  <c r="J34" i="14"/>
  <c r="R18" i="16"/>
  <c r="X34" i="16"/>
  <c r="X15" i="17"/>
  <c r="X20" i="17"/>
  <c r="X24" i="17"/>
  <c r="L15" i="19"/>
  <c r="F16" i="19"/>
  <c r="F18" i="19"/>
  <c r="V20" i="19"/>
  <c r="R24" i="19"/>
  <c r="R25" i="19"/>
  <c r="X12" i="20"/>
  <c r="F15" i="20"/>
  <c r="V15" i="20"/>
  <c r="J21" i="20"/>
  <c r="V27" i="20"/>
  <c r="V29" i="20"/>
  <c r="N21" i="22"/>
  <c r="R21" i="23"/>
  <c r="R16" i="23"/>
  <c r="R24" i="23"/>
  <c r="R22" i="23"/>
  <c r="R18" i="23"/>
  <c r="R20" i="23"/>
  <c r="P18" i="16"/>
  <c r="P27" i="16" s="1"/>
  <c r="R15" i="4"/>
  <c r="V16" i="4"/>
  <c r="L21" i="4"/>
  <c r="J31" i="4"/>
  <c r="J15" i="5"/>
  <c r="F20" i="5"/>
  <c r="F21" i="5"/>
  <c r="L24" i="5"/>
  <c r="F27" i="5"/>
  <c r="F31" i="5"/>
  <c r="X13" i="7"/>
  <c r="V22" i="7"/>
  <c r="L22" i="8"/>
  <c r="J29" i="8"/>
  <c r="J36" i="8"/>
  <c r="L20" i="10"/>
  <c r="R29" i="10"/>
  <c r="J18" i="11"/>
  <c r="J25" i="11"/>
  <c r="J29" i="11"/>
  <c r="J33" i="11"/>
  <c r="X12" i="13"/>
  <c r="F15" i="13"/>
  <c r="R18" i="13"/>
  <c r="Z20" i="13"/>
  <c r="V25" i="13"/>
  <c r="L13" i="14"/>
  <c r="R16" i="14"/>
  <c r="V22" i="19"/>
  <c r="Z12" i="20"/>
  <c r="V16" i="20"/>
  <c r="L22" i="20"/>
  <c r="X33" i="20"/>
  <c r="L13" i="22"/>
  <c r="J15" i="22"/>
  <c r="X20" i="22"/>
  <c r="X21" i="22"/>
  <c r="L13" i="25"/>
  <c r="R34" i="28"/>
  <c r="R36" i="28"/>
  <c r="R29" i="28"/>
  <c r="R22" i="28"/>
  <c r="R33" i="28"/>
  <c r="R21" i="28"/>
  <c r="R20" i="28"/>
  <c r="R15" i="28"/>
  <c r="R16" i="28"/>
  <c r="P18" i="28"/>
  <c r="P27" i="28" s="1"/>
  <c r="R24" i="28"/>
  <c r="L34" i="31"/>
  <c r="N34" i="31"/>
  <c r="Z16" i="34"/>
  <c r="X16" i="34"/>
  <c r="R22" i="43"/>
  <c r="R33" i="43"/>
  <c r="R36" i="43"/>
  <c r="R18" i="43"/>
  <c r="R24" i="43"/>
  <c r="R25" i="43"/>
  <c r="R29" i="43"/>
  <c r="R15" i="43"/>
  <c r="P18" i="43"/>
  <c r="Z12" i="4"/>
  <c r="J29" i="4"/>
  <c r="J36" i="4"/>
  <c r="J22" i="5"/>
  <c r="F24" i="5"/>
  <c r="V27" i="5"/>
  <c r="V31" i="5"/>
  <c r="F34" i="5"/>
  <c r="P18" i="7"/>
  <c r="P27" i="7" s="1"/>
  <c r="R36" i="7"/>
  <c r="R15" i="8"/>
  <c r="V16" i="8"/>
  <c r="R36" i="8"/>
  <c r="P18" i="11"/>
  <c r="P27" i="11" s="1"/>
  <c r="J24" i="11"/>
  <c r="X33" i="11"/>
  <c r="F27" i="13"/>
  <c r="V29" i="13"/>
  <c r="R16" i="16"/>
  <c r="R25" i="16"/>
  <c r="R29" i="16"/>
  <c r="R33" i="16"/>
  <c r="R22" i="17"/>
  <c r="V18" i="19"/>
  <c r="D18" i="20"/>
  <c r="L18" i="20" s="1"/>
  <c r="F29" i="20"/>
  <c r="F22" i="38"/>
  <c r="D18" i="38"/>
  <c r="F15" i="38"/>
  <c r="F33" i="38"/>
  <c r="F36" i="38"/>
  <c r="F29" i="38"/>
  <c r="L12" i="38"/>
  <c r="V20" i="50"/>
  <c r="V31" i="50"/>
  <c r="V27" i="50"/>
  <c r="V34" i="50"/>
  <c r="H18" i="4"/>
  <c r="V20" i="4"/>
  <c r="L34" i="4"/>
  <c r="R36" i="4"/>
  <c r="J21" i="5"/>
  <c r="L16" i="7"/>
  <c r="R18" i="7"/>
  <c r="F22" i="7"/>
  <c r="L25" i="7"/>
  <c r="R33" i="7"/>
  <c r="Z12" i="8"/>
  <c r="V20" i="8"/>
  <c r="R25" i="8"/>
  <c r="J33" i="8"/>
  <c r="R16" i="10"/>
  <c r="R25" i="10"/>
  <c r="R25" i="11"/>
  <c r="R29" i="11"/>
  <c r="R33" i="11"/>
  <c r="F20" i="13"/>
  <c r="L25" i="13"/>
  <c r="V27" i="13"/>
  <c r="F31" i="13"/>
  <c r="V33" i="13"/>
  <c r="V34" i="13"/>
  <c r="X13" i="14"/>
  <c r="R15" i="14"/>
  <c r="X16" i="14"/>
  <c r="R20" i="14"/>
  <c r="X25" i="14"/>
  <c r="X29" i="14"/>
  <c r="X33" i="14"/>
  <c r="Z34" i="14"/>
  <c r="R36" i="16"/>
  <c r="H18" i="17"/>
  <c r="L29" i="17"/>
  <c r="J33" i="17"/>
  <c r="R15" i="19"/>
  <c r="L20" i="19"/>
  <c r="H18" i="20"/>
  <c r="N18" i="20" s="1"/>
  <c r="X25" i="20"/>
  <c r="V33" i="20"/>
  <c r="X16" i="22"/>
  <c r="V21" i="22"/>
  <c r="L22" i="29"/>
  <c r="X20" i="32"/>
  <c r="Z20" i="32"/>
  <c r="J27" i="4"/>
  <c r="X16" i="53"/>
  <c r="Z16" i="53"/>
  <c r="J18" i="4"/>
  <c r="X22" i="4"/>
  <c r="Z24" i="4"/>
  <c r="R25" i="4"/>
  <c r="J33" i="4"/>
  <c r="V16" i="5"/>
  <c r="J24" i="5"/>
  <c r="L20" i="7"/>
  <c r="H18" i="8"/>
  <c r="H27" i="8" s="1"/>
  <c r="H31" i="8" s="1"/>
  <c r="X29" i="8"/>
  <c r="J34" i="8"/>
  <c r="X15" i="10"/>
  <c r="R20" i="10"/>
  <c r="J15" i="11"/>
  <c r="J22" i="11"/>
  <c r="J16" i="13"/>
  <c r="F25" i="13"/>
  <c r="L29" i="13"/>
  <c r="V31" i="13"/>
  <c r="R22" i="14"/>
  <c r="R25" i="14"/>
  <c r="R29" i="14"/>
  <c r="R33" i="14"/>
  <c r="R36" i="14"/>
  <c r="X13" i="16"/>
  <c r="R15" i="16"/>
  <c r="R20" i="16"/>
  <c r="J27" i="16"/>
  <c r="J31" i="16"/>
  <c r="L21" i="19"/>
  <c r="J22" i="19"/>
  <c r="L29" i="19"/>
  <c r="L12" i="20"/>
  <c r="V20" i="20"/>
  <c r="R21" i="20"/>
  <c r="R22" i="20"/>
  <c r="X29" i="23"/>
  <c r="R34" i="37"/>
  <c r="X33" i="38"/>
  <c r="J15" i="4"/>
  <c r="V21" i="4"/>
  <c r="X29" i="4"/>
  <c r="J34" i="4"/>
  <c r="F18" i="5"/>
  <c r="X22" i="5"/>
  <c r="J25" i="5"/>
  <c r="J29" i="5"/>
  <c r="J33" i="5"/>
  <c r="R29" i="7"/>
  <c r="J18" i="8"/>
  <c r="V21" i="8"/>
  <c r="R29" i="8"/>
  <c r="R15" i="10"/>
  <c r="V22" i="10"/>
  <c r="L29" i="10"/>
  <c r="N12" i="11"/>
  <c r="X15" i="11"/>
  <c r="J36" i="11"/>
  <c r="R15" i="13"/>
  <c r="L21" i="13"/>
  <c r="F22" i="13"/>
  <c r="F29" i="13"/>
  <c r="L33" i="13"/>
  <c r="F34" i="13"/>
  <c r="J18" i="14"/>
  <c r="J29" i="17"/>
  <c r="J36" i="17"/>
  <c r="X12" i="19"/>
  <c r="X15" i="19"/>
  <c r="V16" i="19"/>
  <c r="P18" i="20"/>
  <c r="V25" i="20"/>
  <c r="F33" i="20"/>
  <c r="F36" i="20"/>
  <c r="J22" i="22"/>
  <c r="J27" i="22"/>
  <c r="J34" i="22"/>
  <c r="J33" i="22"/>
  <c r="J29" i="22"/>
  <c r="J25" i="22"/>
  <c r="H18" i="22"/>
  <c r="F21" i="22"/>
  <c r="F24" i="31"/>
  <c r="F36" i="31"/>
  <c r="F34" i="31"/>
  <c r="F33" i="31"/>
  <c r="F15" i="31"/>
  <c r="D18" i="31"/>
  <c r="F31" i="31"/>
  <c r="F29" i="31"/>
  <c r="F20" i="31"/>
  <c r="L12" i="31"/>
  <c r="F21" i="31"/>
  <c r="F27" i="31"/>
  <c r="V20" i="11"/>
  <c r="P18" i="4"/>
  <c r="R29" i="4"/>
  <c r="Z12" i="5"/>
  <c r="J18" i="5"/>
  <c r="V20" i="5"/>
  <c r="R22" i="5"/>
  <c r="R24" i="5"/>
  <c r="X25" i="5"/>
  <c r="X29" i="5"/>
  <c r="X33" i="5"/>
  <c r="V34" i="5"/>
  <c r="R16" i="7"/>
  <c r="X21" i="7"/>
  <c r="J15" i="8"/>
  <c r="L16" i="8"/>
  <c r="P18" i="8"/>
  <c r="P27" i="8" s="1"/>
  <c r="J27" i="8"/>
  <c r="X13" i="10"/>
  <c r="R36" i="10"/>
  <c r="R15" i="11"/>
  <c r="V16" i="11"/>
  <c r="X22" i="11"/>
  <c r="J27" i="11"/>
  <c r="J31" i="11"/>
  <c r="L34" i="11"/>
  <c r="R36" i="11"/>
  <c r="F33" i="13"/>
  <c r="F36" i="13"/>
  <c r="L16" i="14"/>
  <c r="P18" i="14"/>
  <c r="P27" i="14" s="1"/>
  <c r="J27" i="14"/>
  <c r="J31" i="14"/>
  <c r="L34" i="14"/>
  <c r="J18" i="16"/>
  <c r="J34" i="16"/>
  <c r="L13" i="17"/>
  <c r="J24" i="17"/>
  <c r="J25" i="17"/>
  <c r="X29" i="17"/>
  <c r="Z12" i="19"/>
  <c r="R15" i="20"/>
  <c r="T18" i="20"/>
  <c r="X22" i="20"/>
  <c r="X29" i="20"/>
  <c r="V36" i="20"/>
  <c r="V15" i="22"/>
  <c r="T18" i="22"/>
  <c r="L25" i="22"/>
  <c r="J31" i="22"/>
  <c r="X22" i="26"/>
  <c r="V24" i="29"/>
  <c r="V29" i="29"/>
  <c r="V27" i="29"/>
  <c r="V16" i="29"/>
  <c r="V15" i="29"/>
  <c r="V25" i="29"/>
  <c r="V22" i="29"/>
  <c r="T18" i="29"/>
  <c r="T27" i="29" s="1"/>
  <c r="Z27" i="29" s="1"/>
  <c r="V21" i="29"/>
  <c r="V31" i="29"/>
  <c r="V20" i="29"/>
  <c r="Z12" i="29"/>
  <c r="F16" i="31"/>
  <c r="X22" i="35"/>
  <c r="Z22" i="35"/>
  <c r="F18" i="38"/>
  <c r="R21" i="43"/>
  <c r="L16" i="96"/>
  <c r="L24" i="96"/>
  <c r="X33" i="96"/>
  <c r="X20" i="23"/>
  <c r="J24" i="23"/>
  <c r="X16" i="25"/>
  <c r="F15" i="26"/>
  <c r="F18" i="26"/>
  <c r="F25" i="26"/>
  <c r="J18" i="28"/>
  <c r="J31" i="28"/>
  <c r="F15" i="29"/>
  <c r="H18" i="29"/>
  <c r="X21" i="29"/>
  <c r="F29" i="29"/>
  <c r="F31" i="29"/>
  <c r="V27" i="31"/>
  <c r="V29" i="31"/>
  <c r="V36" i="31"/>
  <c r="J18" i="32"/>
  <c r="R15" i="34"/>
  <c r="R36" i="34"/>
  <c r="X12" i="35"/>
  <c r="F20" i="35"/>
  <c r="R24" i="35"/>
  <c r="V18" i="37"/>
  <c r="R15" i="38"/>
  <c r="J18" i="38"/>
  <c r="V33" i="38"/>
  <c r="F25" i="40"/>
  <c r="N33" i="40"/>
  <c r="V34" i="43"/>
  <c r="V33" i="43"/>
  <c r="V29" i="43"/>
  <c r="V25" i="43"/>
  <c r="Z12" i="43"/>
  <c r="V20" i="43"/>
  <c r="F34" i="44"/>
  <c r="F16" i="44"/>
  <c r="F25" i="44"/>
  <c r="F15" i="44"/>
  <c r="F33" i="44"/>
  <c r="F29" i="44"/>
  <c r="F22" i="44"/>
  <c r="V16" i="44"/>
  <c r="L13" i="46"/>
  <c r="Z12" i="23"/>
  <c r="F16" i="23"/>
  <c r="F18" i="23"/>
  <c r="T18" i="26"/>
  <c r="T27" i="26" s="1"/>
  <c r="V21" i="26"/>
  <c r="F29" i="26"/>
  <c r="F16" i="28"/>
  <c r="J27" i="28"/>
  <c r="J34" i="28"/>
  <c r="X22" i="29"/>
  <c r="X25" i="29"/>
  <c r="F36" i="29"/>
  <c r="J24" i="31"/>
  <c r="J25" i="31"/>
  <c r="R18" i="32"/>
  <c r="F22" i="32"/>
  <c r="F24" i="32"/>
  <c r="X15" i="34"/>
  <c r="H18" i="34"/>
  <c r="H27" i="34" s="1"/>
  <c r="H31" i="34" s="1"/>
  <c r="J34" i="34"/>
  <c r="V16" i="35"/>
  <c r="L20" i="35"/>
  <c r="Z12" i="37"/>
  <c r="F21" i="37"/>
  <c r="F22" i="37"/>
  <c r="V34" i="37"/>
  <c r="P18" i="38"/>
  <c r="P27" i="38" s="1"/>
  <c r="R20" i="38"/>
  <c r="R22" i="38"/>
  <c r="J31" i="38"/>
  <c r="V18" i="40"/>
  <c r="V21" i="40"/>
  <c r="L20" i="40"/>
  <c r="L15" i="41"/>
  <c r="L34" i="41"/>
  <c r="T18" i="43"/>
  <c r="T27" i="43" s="1"/>
  <c r="V15" i="44"/>
  <c r="F15" i="46"/>
  <c r="F25" i="46"/>
  <c r="L22" i="94"/>
  <c r="N12" i="25"/>
  <c r="F18" i="25"/>
  <c r="J15" i="26"/>
  <c r="V18" i="26"/>
  <c r="J25" i="26"/>
  <c r="F33" i="26"/>
  <c r="J15" i="29"/>
  <c r="F16" i="29"/>
  <c r="J29" i="29"/>
  <c r="L33" i="29"/>
  <c r="J36" i="29"/>
  <c r="J21" i="31"/>
  <c r="L29" i="32"/>
  <c r="Z15" i="34"/>
  <c r="P18" i="34"/>
  <c r="P27" i="34" s="1"/>
  <c r="L22" i="34"/>
  <c r="R25" i="34"/>
  <c r="Z12" i="35"/>
  <c r="N20" i="35"/>
  <c r="F24" i="35"/>
  <c r="N12" i="38"/>
  <c r="V15" i="38"/>
  <c r="T18" i="38"/>
  <c r="T27" i="38" s="1"/>
  <c r="R21" i="38"/>
  <c r="R24" i="38"/>
  <c r="R25" i="38"/>
  <c r="X20" i="40"/>
  <c r="X25" i="41"/>
  <c r="V18" i="43"/>
  <c r="F20" i="44"/>
  <c r="L34" i="46"/>
  <c r="X25" i="22"/>
  <c r="V18" i="23"/>
  <c r="V20" i="23"/>
  <c r="J18" i="25"/>
  <c r="F24" i="25"/>
  <c r="F21" i="26"/>
  <c r="J29" i="26"/>
  <c r="J22" i="28"/>
  <c r="J24" i="28"/>
  <c r="F33" i="29"/>
  <c r="F34" i="29"/>
  <c r="V15" i="31"/>
  <c r="V16" i="31"/>
  <c r="V31" i="31"/>
  <c r="V33" i="31"/>
  <c r="V34" i="31"/>
  <c r="J22" i="32"/>
  <c r="N24" i="32"/>
  <c r="J21" i="34"/>
  <c r="X25" i="34"/>
  <c r="R29" i="34"/>
  <c r="F16" i="35"/>
  <c r="J22" i="35"/>
  <c r="J15" i="37"/>
  <c r="R16" i="38"/>
  <c r="V18" i="38"/>
  <c r="R36" i="38"/>
  <c r="V34" i="44"/>
  <c r="V20" i="44"/>
  <c r="Z12" i="44"/>
  <c r="V33" i="44"/>
  <c r="V22" i="44"/>
  <c r="L21" i="44"/>
  <c r="V25" i="44"/>
  <c r="F34" i="95"/>
  <c r="F24" i="95"/>
  <c r="F18" i="95"/>
  <c r="F15" i="95"/>
  <c r="F22" i="95"/>
  <c r="F16" i="95"/>
  <c r="F20" i="95"/>
  <c r="F25" i="95"/>
  <c r="X29" i="22"/>
  <c r="X16" i="23"/>
  <c r="L20" i="23"/>
  <c r="F22" i="23"/>
  <c r="X24" i="23"/>
  <c r="V18" i="25"/>
  <c r="J22" i="25"/>
  <c r="F21" i="29"/>
  <c r="X12" i="31"/>
  <c r="L15" i="31"/>
  <c r="J29" i="31"/>
  <c r="L33" i="31"/>
  <c r="R15" i="32"/>
  <c r="R16" i="32"/>
  <c r="X24" i="34"/>
  <c r="R33" i="34"/>
  <c r="L16" i="35"/>
  <c r="F18" i="35"/>
  <c r="R20" i="35"/>
  <c r="J24" i="35"/>
  <c r="X16" i="37"/>
  <c r="X20" i="37"/>
  <c r="X21" i="37"/>
  <c r="V31" i="37"/>
  <c r="V25" i="38"/>
  <c r="R29" i="38"/>
  <c r="V36" i="38"/>
  <c r="J22" i="41"/>
  <c r="V36" i="44"/>
  <c r="X20" i="53"/>
  <c r="Z20" i="53"/>
  <c r="X34" i="22"/>
  <c r="F20" i="23"/>
  <c r="L24" i="23"/>
  <c r="Z24" i="23"/>
  <c r="F16" i="25"/>
  <c r="L20" i="25"/>
  <c r="F21" i="25"/>
  <c r="J24" i="25"/>
  <c r="V15" i="26"/>
  <c r="J21" i="26"/>
  <c r="J22" i="26"/>
  <c r="V25" i="26"/>
  <c r="X29" i="28"/>
  <c r="L12" i="29"/>
  <c r="F20" i="29"/>
  <c r="F25" i="29"/>
  <c r="F27" i="29"/>
  <c r="J33" i="29"/>
  <c r="Z12" i="31"/>
  <c r="H18" i="31"/>
  <c r="H27" i="31" s="1"/>
  <c r="N27" i="31" s="1"/>
  <c r="V20" i="31"/>
  <c r="V25" i="31"/>
  <c r="R24" i="32"/>
  <c r="J15" i="34"/>
  <c r="J27" i="34"/>
  <c r="X33" i="34"/>
  <c r="J18" i="35"/>
  <c r="V27" i="37"/>
  <c r="J34" i="38"/>
  <c r="F18" i="40"/>
  <c r="F33" i="40"/>
  <c r="F21" i="40"/>
  <c r="F15" i="40"/>
  <c r="F29" i="40"/>
  <c r="F24" i="40"/>
  <c r="X15" i="41"/>
  <c r="J20" i="43"/>
  <c r="J27" i="43"/>
  <c r="N12" i="43"/>
  <c r="V15" i="43"/>
  <c r="J31" i="43"/>
  <c r="J34" i="43"/>
  <c r="L16" i="44"/>
  <c r="L24" i="46"/>
  <c r="F33" i="46"/>
  <c r="Z22" i="47"/>
  <c r="X22" i="47"/>
  <c r="L24" i="52"/>
  <c r="Z34" i="22"/>
  <c r="N12" i="23"/>
  <c r="L21" i="23"/>
  <c r="J22" i="23"/>
  <c r="F24" i="23"/>
  <c r="L34" i="23"/>
  <c r="J15" i="25"/>
  <c r="F20" i="25"/>
  <c r="X34" i="25"/>
  <c r="L12" i="26"/>
  <c r="V29" i="26"/>
  <c r="V33" i="26"/>
  <c r="F36" i="26"/>
  <c r="J21" i="29"/>
  <c r="F22" i="29"/>
  <c r="J24" i="29"/>
  <c r="X29" i="31"/>
  <c r="X13" i="32"/>
  <c r="Z16" i="32"/>
  <c r="R20" i="32"/>
  <c r="V22" i="34"/>
  <c r="L25" i="34"/>
  <c r="V27" i="34"/>
  <c r="J31" i="34"/>
  <c r="Z33" i="34"/>
  <c r="V34" i="34"/>
  <c r="R18" i="35"/>
  <c r="V20" i="35"/>
  <c r="R22" i="35"/>
  <c r="V21" i="37"/>
  <c r="J15" i="38"/>
  <c r="V29" i="38"/>
  <c r="R33" i="38"/>
  <c r="J22" i="40"/>
  <c r="J29" i="40"/>
  <c r="J25" i="40"/>
  <c r="J18" i="40"/>
  <c r="J36" i="40"/>
  <c r="H18" i="40"/>
  <c r="N18" i="40" s="1"/>
  <c r="X13" i="40"/>
  <c r="X15" i="40"/>
  <c r="D18" i="40"/>
  <c r="D27" i="40" s="1"/>
  <c r="X29" i="41"/>
  <c r="V16" i="43"/>
  <c r="L33" i="43"/>
  <c r="X16" i="44"/>
  <c r="L34" i="44"/>
  <c r="L29" i="50"/>
  <c r="X13" i="52"/>
  <c r="J22" i="53"/>
  <c r="J24" i="53"/>
  <c r="X29" i="40"/>
  <c r="X16" i="41"/>
  <c r="F21" i="41"/>
  <c r="L24" i="41"/>
  <c r="X21" i="43"/>
  <c r="F33" i="43"/>
  <c r="R15" i="44"/>
  <c r="X13" i="46"/>
  <c r="R16" i="46"/>
  <c r="L20" i="46"/>
  <c r="T18" i="47"/>
  <c r="T27" i="47" s="1"/>
  <c r="V22" i="47"/>
  <c r="L29" i="47"/>
  <c r="R15" i="49"/>
  <c r="X16" i="49"/>
  <c r="X20" i="49"/>
  <c r="X21" i="49"/>
  <c r="R22" i="49"/>
  <c r="F27" i="49"/>
  <c r="F31" i="49"/>
  <c r="X12" i="50"/>
  <c r="L21" i="50"/>
  <c r="L20" i="52"/>
  <c r="L21" i="52"/>
  <c r="J24" i="52"/>
  <c r="L25" i="52"/>
  <c r="J27" i="52"/>
  <c r="J31" i="52"/>
  <c r="R36" i="52"/>
  <c r="T18" i="53"/>
  <c r="V16" i="53"/>
  <c r="V20" i="53"/>
  <c r="R21" i="53"/>
  <c r="R22" i="53"/>
  <c r="V33" i="53"/>
  <c r="V36" i="53"/>
  <c r="V16" i="94"/>
  <c r="X20" i="94"/>
  <c r="F24" i="94"/>
  <c r="L25" i="94"/>
  <c r="L33" i="94"/>
  <c r="R18" i="95"/>
  <c r="R21" i="95"/>
  <c r="J24" i="95"/>
  <c r="X29" i="95"/>
  <c r="P18" i="96"/>
  <c r="J18" i="96"/>
  <c r="R20" i="96"/>
  <c r="R21" i="96"/>
  <c r="L21" i="46"/>
  <c r="X33" i="47"/>
  <c r="L16" i="50"/>
  <c r="L20" i="50"/>
  <c r="X25" i="50"/>
  <c r="V36" i="52"/>
  <c r="V15" i="53"/>
  <c r="V25" i="53"/>
  <c r="V29" i="53"/>
  <c r="R22" i="95"/>
  <c r="R18" i="49"/>
  <c r="Z12" i="52"/>
  <c r="L34" i="52"/>
  <c r="X12" i="53"/>
  <c r="D18" i="53"/>
  <c r="D27" i="53" s="1"/>
  <c r="V22" i="53"/>
  <c r="F27" i="53"/>
  <c r="V31" i="53"/>
  <c r="R16" i="95"/>
  <c r="R22" i="96"/>
  <c r="X29" i="96"/>
  <c r="R24" i="46"/>
  <c r="R25" i="46"/>
  <c r="R15" i="47"/>
  <c r="F22" i="47"/>
  <c r="F25" i="47"/>
  <c r="V33" i="47"/>
  <c r="L24" i="49"/>
  <c r="X21" i="52"/>
  <c r="R22" i="52"/>
  <c r="X24" i="52"/>
  <c r="J34" i="52"/>
  <c r="Z12" i="53"/>
  <c r="F15" i="53"/>
  <c r="V27" i="53"/>
  <c r="R18" i="94"/>
  <c r="V20" i="94"/>
  <c r="R22" i="94"/>
  <c r="R24" i="95"/>
  <c r="X25" i="95"/>
  <c r="N12" i="96"/>
  <c r="X15" i="96"/>
  <c r="R16" i="96"/>
  <c r="F20" i="96"/>
  <c r="X22" i="96"/>
  <c r="R24" i="96"/>
  <c r="L16" i="41"/>
  <c r="F18" i="41"/>
  <c r="V20" i="41"/>
  <c r="V21" i="41"/>
  <c r="X22" i="41"/>
  <c r="R24" i="41"/>
  <c r="F15" i="43"/>
  <c r="L16" i="46"/>
  <c r="P18" i="46"/>
  <c r="R20" i="46"/>
  <c r="V29" i="46"/>
  <c r="V33" i="46"/>
  <c r="V16" i="47"/>
  <c r="F36" i="47"/>
  <c r="X12" i="49"/>
  <c r="L15" i="49"/>
  <c r="F16" i="49"/>
  <c r="F20" i="49"/>
  <c r="L22" i="49"/>
  <c r="J24" i="49"/>
  <c r="X15" i="50"/>
  <c r="R16" i="50"/>
  <c r="R20" i="50"/>
  <c r="L24" i="50"/>
  <c r="F27" i="50"/>
  <c r="P18" i="52"/>
  <c r="P27" i="52" s="1"/>
  <c r="R18" i="52"/>
  <c r="V20" i="52"/>
  <c r="R21" i="52"/>
  <c r="R24" i="52"/>
  <c r="R25" i="52"/>
  <c r="R29" i="52"/>
  <c r="N34" i="52"/>
  <c r="F16" i="53"/>
  <c r="F20" i="53"/>
  <c r="L22" i="53"/>
  <c r="L20" i="94"/>
  <c r="R24" i="94"/>
  <c r="Z12" i="95"/>
  <c r="V16" i="95"/>
  <c r="L22" i="96"/>
  <c r="L34" i="40"/>
  <c r="Z12" i="41"/>
  <c r="F16" i="41"/>
  <c r="V18" i="41"/>
  <c r="D18" i="43"/>
  <c r="D27" i="43" s="1"/>
  <c r="L21" i="43"/>
  <c r="L25" i="43"/>
  <c r="L13" i="44"/>
  <c r="R18" i="44"/>
  <c r="X21" i="44"/>
  <c r="R18" i="46"/>
  <c r="R21" i="46"/>
  <c r="V22" i="46"/>
  <c r="V25" i="46"/>
  <c r="R36" i="46"/>
  <c r="V15" i="47"/>
  <c r="V29" i="47"/>
  <c r="V36" i="47"/>
  <c r="Z12" i="49"/>
  <c r="J21" i="49"/>
  <c r="X25" i="49"/>
  <c r="X29" i="49"/>
  <c r="X33" i="49"/>
  <c r="V34" i="49"/>
  <c r="R15" i="50"/>
  <c r="F24" i="50"/>
  <c r="F31" i="50"/>
  <c r="R15" i="52"/>
  <c r="T18" i="52"/>
  <c r="V22" i="52"/>
  <c r="R33" i="52"/>
  <c r="X34" i="52"/>
  <c r="L13" i="53"/>
  <c r="F22" i="53"/>
  <c r="V34" i="53"/>
  <c r="X16" i="94"/>
  <c r="F20" i="94"/>
  <c r="V22" i="94"/>
  <c r="D18" i="95"/>
  <c r="D27" i="95" s="1"/>
  <c r="L24" i="95"/>
  <c r="X33" i="95"/>
  <c r="L21" i="96"/>
  <c r="F22" i="96"/>
  <c r="V20" i="47"/>
  <c r="X24" i="47"/>
  <c r="R25" i="49"/>
  <c r="R29" i="49"/>
  <c r="R33" i="49"/>
  <c r="V18" i="52"/>
  <c r="V25" i="52"/>
  <c r="V29" i="52"/>
  <c r="X33" i="53"/>
  <c r="L13" i="94"/>
  <c r="X15" i="94"/>
  <c r="R16" i="94"/>
  <c r="X29" i="94"/>
  <c r="F16" i="96"/>
  <c r="F24" i="96"/>
  <c r="Z92" i="3"/>
  <c r="N110" i="3"/>
  <c r="N181" i="3"/>
  <c r="Z16" i="9"/>
  <c r="T95" i="9"/>
  <c r="N27" i="11"/>
  <c r="Z24" i="3"/>
  <c r="H99" i="9"/>
  <c r="D26" i="6"/>
  <c r="L22" i="6"/>
  <c r="R167" i="3"/>
  <c r="R151" i="3"/>
  <c r="R143" i="3"/>
  <c r="R139" i="3"/>
  <c r="R135" i="3"/>
  <c r="R131" i="3"/>
  <c r="R119" i="3"/>
  <c r="R116" i="3"/>
  <c r="R111" i="3"/>
  <c r="R104" i="3"/>
  <c r="R99" i="3"/>
  <c r="R92" i="3"/>
  <c r="R87" i="3"/>
  <c r="R83" i="3"/>
  <c r="R71" i="3"/>
  <c r="R64" i="3"/>
  <c r="R55" i="3"/>
  <c r="R47" i="3"/>
  <c r="R39" i="3"/>
  <c r="R31" i="3"/>
  <c r="R24" i="3"/>
  <c r="R84" i="3"/>
  <c r="R172" i="3"/>
  <c r="R154" i="3"/>
  <c r="R150" i="3"/>
  <c r="R142" i="3"/>
  <c r="R134" i="3"/>
  <c r="R130" i="3"/>
  <c r="R126" i="3"/>
  <c r="R107" i="3"/>
  <c r="R95" i="3"/>
  <c r="R82" i="3"/>
  <c r="R75" i="3"/>
  <c r="R70" i="3"/>
  <c r="R54" i="3"/>
  <c r="R46" i="3"/>
  <c r="R38" i="3"/>
  <c r="R30" i="3"/>
  <c r="R36" i="3"/>
  <c r="R28" i="3"/>
  <c r="R108" i="3"/>
  <c r="R76" i="3"/>
  <c r="R181" i="3"/>
  <c r="R169" i="3"/>
  <c r="R164" i="3"/>
  <c r="R153" i="3"/>
  <c r="R149" i="3"/>
  <c r="R138" i="3"/>
  <c r="R133" i="3"/>
  <c r="R129" i="3"/>
  <c r="R125" i="3"/>
  <c r="R121" i="3"/>
  <c r="R118" i="3"/>
  <c r="R113" i="3"/>
  <c r="R110" i="3"/>
  <c r="R101" i="3"/>
  <c r="R98" i="3"/>
  <c r="R89" i="3"/>
  <c r="R86" i="3"/>
  <c r="R81" i="3"/>
  <c r="R69" i="3"/>
  <c r="P61" i="3"/>
  <c r="R53" i="3"/>
  <c r="R45" i="3"/>
  <c r="R37" i="3"/>
  <c r="R29" i="3"/>
  <c r="R44" i="3"/>
  <c r="R166" i="3"/>
  <c r="R160" i="3"/>
  <c r="R156" i="3"/>
  <c r="R148" i="3"/>
  <c r="R141" i="3"/>
  <c r="R128" i="3"/>
  <c r="R124" i="3"/>
  <c r="R80" i="3"/>
  <c r="R68" i="3"/>
  <c r="R52" i="3"/>
  <c r="R144" i="3"/>
  <c r="R140" i="3"/>
  <c r="R136" i="3"/>
  <c r="R56" i="3"/>
  <c r="X12" i="3"/>
  <c r="R171" i="3"/>
  <c r="R159" i="3"/>
  <c r="R152" i="3"/>
  <c r="R147" i="3"/>
  <c r="R132" i="3"/>
  <c r="R123" i="3"/>
  <c r="R120" i="3"/>
  <c r="R115" i="3"/>
  <c r="R112" i="3"/>
  <c r="R103" i="3"/>
  <c r="R100" i="3"/>
  <c r="R91" i="3"/>
  <c r="R88" i="3"/>
  <c r="R79" i="3"/>
  <c r="R67" i="3"/>
  <c r="R59" i="3"/>
  <c r="R51" i="3"/>
  <c r="R43" i="3"/>
  <c r="R35" i="3"/>
  <c r="R27" i="3"/>
  <c r="R170" i="3"/>
  <c r="R161" i="3"/>
  <c r="R96" i="3"/>
  <c r="R72" i="3"/>
  <c r="R176" i="3"/>
  <c r="R168" i="3"/>
  <c r="R162" i="3"/>
  <c r="R158" i="3"/>
  <c r="R155" i="3"/>
  <c r="R146" i="3"/>
  <c r="R127" i="3"/>
  <c r="R106" i="3"/>
  <c r="R94" i="3"/>
  <c r="R78" i="3"/>
  <c r="R74" i="3"/>
  <c r="R66" i="3"/>
  <c r="R63" i="3"/>
  <c r="R58" i="3"/>
  <c r="R50" i="3"/>
  <c r="R42" i="3"/>
  <c r="R34" i="3"/>
  <c r="R26" i="3"/>
  <c r="R157" i="3"/>
  <c r="R40" i="3"/>
  <c r="R180" i="3"/>
  <c r="R165" i="3"/>
  <c r="R145" i="3"/>
  <c r="R137" i="3"/>
  <c r="R122" i="3"/>
  <c r="R117" i="3"/>
  <c r="R114" i="3"/>
  <c r="R109" i="3"/>
  <c r="R105" i="3"/>
  <c r="R102" i="3"/>
  <c r="R97" i="3"/>
  <c r="R93" i="3"/>
  <c r="R90" i="3"/>
  <c r="R85" i="3"/>
  <c r="R77" i="3"/>
  <c r="R73" i="3"/>
  <c r="R65" i="3"/>
  <c r="R57" i="3"/>
  <c r="R49" i="3"/>
  <c r="R41" i="3"/>
  <c r="R33" i="3"/>
  <c r="R25" i="3"/>
  <c r="R48" i="3"/>
  <c r="R32" i="3"/>
  <c r="Z75" i="3"/>
  <c r="Z104" i="3"/>
  <c r="H26" i="6"/>
  <c r="N22" i="6"/>
  <c r="R153" i="12"/>
  <c r="R137" i="12"/>
  <c r="R130" i="12"/>
  <c r="R122" i="12"/>
  <c r="R113" i="12"/>
  <c r="R110" i="12"/>
  <c r="R105" i="12"/>
  <c r="R102" i="12"/>
  <c r="R93" i="12"/>
  <c r="R90" i="12"/>
  <c r="R81" i="12"/>
  <c r="R78" i="12"/>
  <c r="R73" i="12"/>
  <c r="R61" i="12"/>
  <c r="P53" i="12"/>
  <c r="R140" i="12"/>
  <c r="R136" i="12"/>
  <c r="R117" i="12"/>
  <c r="R155" i="12"/>
  <c r="R139" i="12"/>
  <c r="R135" i="12"/>
  <c r="R112" i="12"/>
  <c r="R107" i="12"/>
  <c r="R104" i="12"/>
  <c r="R152" i="12"/>
  <c r="R146" i="12"/>
  <c r="R142" i="12"/>
  <c r="R134" i="12"/>
  <c r="R126" i="12"/>
  <c r="R98" i="12"/>
  <c r="R86" i="12"/>
  <c r="R70" i="12"/>
  <c r="R66" i="12"/>
  <c r="R58" i="12"/>
  <c r="R55" i="12"/>
  <c r="R50" i="12"/>
  <c r="R42" i="12"/>
  <c r="R145" i="12"/>
  <c r="R138" i="12"/>
  <c r="R133" i="12"/>
  <c r="R129" i="12"/>
  <c r="R125" i="12"/>
  <c r="R121" i="12"/>
  <c r="R109" i="12"/>
  <c r="R106" i="12"/>
  <c r="R101" i="12"/>
  <c r="R97" i="12"/>
  <c r="R94" i="12"/>
  <c r="R89" i="12"/>
  <c r="R85" i="12"/>
  <c r="R82" i="12"/>
  <c r="R77" i="12"/>
  <c r="R69" i="12"/>
  <c r="R65" i="12"/>
  <c r="R57" i="12"/>
  <c r="R49" i="12"/>
  <c r="R154" i="12"/>
  <c r="R148" i="12"/>
  <c r="R144" i="12"/>
  <c r="R141" i="12"/>
  <c r="R132" i="12"/>
  <c r="R128" i="12"/>
  <c r="R124" i="12"/>
  <c r="R120" i="12"/>
  <c r="R116" i="12"/>
  <c r="R100" i="12"/>
  <c r="R88" i="12"/>
  <c r="R76" i="12"/>
  <c r="R68" i="12"/>
  <c r="R64" i="12"/>
  <c r="R48" i="12"/>
  <c r="R159" i="12"/>
  <c r="R151" i="12"/>
  <c r="R131" i="12"/>
  <c r="R123" i="12"/>
  <c r="R119" i="12"/>
  <c r="R115" i="12"/>
  <c r="R111" i="12"/>
  <c r="R108" i="12"/>
  <c r="R103" i="12"/>
  <c r="R96" i="12"/>
  <c r="R91" i="12"/>
  <c r="R84" i="12"/>
  <c r="R79" i="12"/>
  <c r="R75" i="12"/>
  <c r="R147" i="12"/>
  <c r="R62" i="12"/>
  <c r="R37" i="12"/>
  <c r="R29" i="12"/>
  <c r="R22" i="12"/>
  <c r="R92" i="12"/>
  <c r="R36" i="12"/>
  <c r="R28" i="12"/>
  <c r="X12" i="12"/>
  <c r="Z12" i="12" s="1"/>
  <c r="R83" i="12"/>
  <c r="R74" i="12"/>
  <c r="R35" i="12"/>
  <c r="R27" i="12"/>
  <c r="R143" i="12"/>
  <c r="R118" i="12"/>
  <c r="R59" i="12"/>
  <c r="R47" i="12"/>
  <c r="R34" i="12"/>
  <c r="R26" i="12"/>
  <c r="R63" i="12"/>
  <c r="R71" i="12"/>
  <c r="R60" i="12"/>
  <c r="R46" i="12"/>
  <c r="R45" i="12"/>
  <c r="R44" i="12"/>
  <c r="R43" i="12"/>
  <c r="R41" i="12"/>
  <c r="R33" i="12"/>
  <c r="R25" i="12"/>
  <c r="R99" i="12"/>
  <c r="R80" i="12"/>
  <c r="R72" i="12"/>
  <c r="R67" i="12"/>
  <c r="R56" i="12"/>
  <c r="R51" i="12"/>
  <c r="R40" i="12"/>
  <c r="R32" i="12"/>
  <c r="R24" i="12"/>
  <c r="R114" i="12"/>
  <c r="R127" i="12"/>
  <c r="R95" i="12"/>
  <c r="R87" i="12"/>
  <c r="R53" i="12"/>
  <c r="R39" i="12"/>
  <c r="R31" i="12"/>
  <c r="R23" i="12"/>
  <c r="R38" i="12"/>
  <c r="R30" i="12"/>
  <c r="P22" i="6"/>
  <c r="Z46" i="9"/>
  <c r="N48" i="9"/>
  <c r="Z22" i="12"/>
  <c r="F181" i="3"/>
  <c r="F166" i="3"/>
  <c r="F159" i="3"/>
  <c r="F147" i="3"/>
  <c r="F138" i="3"/>
  <c r="F123" i="3"/>
  <c r="F118" i="3"/>
  <c r="F115" i="3"/>
  <c r="F110" i="3"/>
  <c r="F103" i="3"/>
  <c r="F98" i="3"/>
  <c r="F91" i="3"/>
  <c r="F86" i="3"/>
  <c r="F79" i="3"/>
  <c r="F67" i="3"/>
  <c r="D61" i="3"/>
  <c r="F59" i="3"/>
  <c r="F51" i="3"/>
  <c r="F43" i="3"/>
  <c r="F35" i="3"/>
  <c r="F27" i="3"/>
  <c r="F160" i="3"/>
  <c r="F156" i="3"/>
  <c r="F80" i="3"/>
  <c r="F176" i="3"/>
  <c r="F171" i="3"/>
  <c r="F162" i="3"/>
  <c r="F158" i="3"/>
  <c r="F146" i="3"/>
  <c r="F141" i="3"/>
  <c r="F106" i="3"/>
  <c r="F94" i="3"/>
  <c r="F78" i="3"/>
  <c r="F74" i="3"/>
  <c r="F66" i="3"/>
  <c r="F58" i="3"/>
  <c r="F50" i="3"/>
  <c r="F42" i="3"/>
  <c r="F34" i="3"/>
  <c r="F26" i="3"/>
  <c r="F32" i="3"/>
  <c r="F148" i="3"/>
  <c r="F68" i="3"/>
  <c r="F28" i="3"/>
  <c r="F168" i="3"/>
  <c r="F152" i="3"/>
  <c r="F145" i="3"/>
  <c r="F137" i="3"/>
  <c r="F132" i="3"/>
  <c r="F120" i="3"/>
  <c r="F117" i="3"/>
  <c r="F112" i="3"/>
  <c r="F109" i="3"/>
  <c r="F105" i="3"/>
  <c r="F100" i="3"/>
  <c r="F97" i="3"/>
  <c r="F93" i="3"/>
  <c r="F88" i="3"/>
  <c r="F85" i="3"/>
  <c r="F77" i="3"/>
  <c r="F73" i="3"/>
  <c r="F65" i="3"/>
  <c r="F57" i="3"/>
  <c r="F49" i="3"/>
  <c r="F41" i="3"/>
  <c r="F33" i="3"/>
  <c r="F25" i="3"/>
  <c r="F40" i="3"/>
  <c r="F165" i="3"/>
  <c r="F155" i="3"/>
  <c r="F144" i="3"/>
  <c r="F140" i="3"/>
  <c r="F136" i="3"/>
  <c r="F127" i="3"/>
  <c r="F108" i="3"/>
  <c r="F96" i="3"/>
  <c r="F84" i="3"/>
  <c r="F76" i="3"/>
  <c r="F72" i="3"/>
  <c r="F63" i="3"/>
  <c r="F56" i="3"/>
  <c r="F48" i="3"/>
  <c r="L12" i="3"/>
  <c r="N12" i="3" s="1"/>
  <c r="F61" i="3"/>
  <c r="F52" i="3"/>
  <c r="F36" i="3"/>
  <c r="F180" i="3"/>
  <c r="F170" i="3"/>
  <c r="F151" i="3"/>
  <c r="F143" i="3"/>
  <c r="F139" i="3"/>
  <c r="F135" i="3"/>
  <c r="F131" i="3"/>
  <c r="F122" i="3"/>
  <c r="F119" i="3"/>
  <c r="F114" i="3"/>
  <c r="F111" i="3"/>
  <c r="F102" i="3"/>
  <c r="F99" i="3"/>
  <c r="F90" i="3"/>
  <c r="F87" i="3"/>
  <c r="F83" i="3"/>
  <c r="F71" i="3"/>
  <c r="F55" i="3"/>
  <c r="F47" i="3"/>
  <c r="F39" i="3"/>
  <c r="F31" i="3"/>
  <c r="F107" i="3"/>
  <c r="F167" i="3"/>
  <c r="F161" i="3"/>
  <c r="F157" i="3"/>
  <c r="F154" i="3"/>
  <c r="F150" i="3"/>
  <c r="F142" i="3"/>
  <c r="F134" i="3"/>
  <c r="F130" i="3"/>
  <c r="F126" i="3"/>
  <c r="F82" i="3"/>
  <c r="F70" i="3"/>
  <c r="F54" i="3"/>
  <c r="F46" i="3"/>
  <c r="F38" i="3"/>
  <c r="F30" i="3"/>
  <c r="F169" i="3"/>
  <c r="F128" i="3"/>
  <c r="F124" i="3"/>
  <c r="F75" i="3"/>
  <c r="F44" i="3"/>
  <c r="F172" i="3"/>
  <c r="F153" i="3"/>
  <c r="F149" i="3"/>
  <c r="F133" i="3"/>
  <c r="F129" i="3"/>
  <c r="F125" i="3"/>
  <c r="F121" i="3"/>
  <c r="F116" i="3"/>
  <c r="F113" i="3"/>
  <c r="F104" i="3"/>
  <c r="F101" i="3"/>
  <c r="F92" i="3"/>
  <c r="F89" i="3"/>
  <c r="F81" i="3"/>
  <c r="F69" i="3"/>
  <c r="F64" i="3"/>
  <c r="F53" i="3"/>
  <c r="F45" i="3"/>
  <c r="F37" i="3"/>
  <c r="F29" i="3"/>
  <c r="F24" i="3"/>
  <c r="F95" i="3"/>
  <c r="N29" i="6"/>
  <c r="Z18" i="9"/>
  <c r="N51" i="9"/>
  <c r="N59" i="9"/>
  <c r="F82" i="9"/>
  <c r="F152" i="12"/>
  <c r="F150" i="12"/>
  <c r="F145" i="12"/>
  <c r="F133" i="12"/>
  <c r="F129" i="12"/>
  <c r="F125" i="12"/>
  <c r="F121" i="12"/>
  <c r="F112" i="12"/>
  <c r="F109" i="12"/>
  <c r="F104" i="12"/>
  <c r="F101" i="12"/>
  <c r="F97" i="12"/>
  <c r="F92" i="12"/>
  <c r="F89" i="12"/>
  <c r="F85" i="12"/>
  <c r="F80" i="12"/>
  <c r="F77" i="12"/>
  <c r="F69" i="12"/>
  <c r="F65" i="12"/>
  <c r="F57" i="12"/>
  <c r="F148" i="12"/>
  <c r="F144" i="12"/>
  <c r="F132" i="12"/>
  <c r="F128" i="12"/>
  <c r="F124" i="12"/>
  <c r="F120" i="12"/>
  <c r="F116" i="12"/>
  <c r="F100" i="12"/>
  <c r="F88" i="12"/>
  <c r="F159" i="12"/>
  <c r="F154" i="12"/>
  <c r="F138" i="12"/>
  <c r="F131" i="12"/>
  <c r="F123" i="12"/>
  <c r="F119" i="12"/>
  <c r="F115" i="12"/>
  <c r="F111" i="12"/>
  <c r="F106" i="12"/>
  <c r="F103" i="12"/>
  <c r="F151" i="12"/>
  <c r="F141" i="12"/>
  <c r="F118" i="12"/>
  <c r="F114" i="12"/>
  <c r="F74" i="12"/>
  <c r="F62" i="12"/>
  <c r="F46" i="12"/>
  <c r="F137" i="12"/>
  <c r="F113" i="12"/>
  <c r="F108" i="12"/>
  <c r="F105" i="12"/>
  <c r="F96" i="12"/>
  <c r="F93" i="12"/>
  <c r="F84" i="12"/>
  <c r="F81" i="12"/>
  <c r="F73" i="12"/>
  <c r="F61" i="12"/>
  <c r="F56" i="12"/>
  <c r="F153" i="12"/>
  <c r="F147" i="12"/>
  <c r="F143" i="12"/>
  <c r="F140" i="12"/>
  <c r="F136" i="12"/>
  <c r="F127" i="12"/>
  <c r="F99" i="12"/>
  <c r="F87" i="12"/>
  <c r="F72" i="12"/>
  <c r="F67" i="12"/>
  <c r="F60" i="12"/>
  <c r="F44" i="12"/>
  <c r="F139" i="12"/>
  <c r="F135" i="12"/>
  <c r="F130" i="12"/>
  <c r="F122" i="12"/>
  <c r="F110" i="12"/>
  <c r="F107" i="12"/>
  <c r="F102" i="12"/>
  <c r="F95" i="12"/>
  <c r="F90" i="12"/>
  <c r="F83" i="12"/>
  <c r="F78" i="12"/>
  <c r="F34" i="12"/>
  <c r="F42" i="12"/>
  <c r="F47" i="12"/>
  <c r="F70" i="12"/>
  <c r="V24" i="3"/>
  <c r="J28" i="3"/>
  <c r="V32" i="3"/>
  <c r="J36" i="3"/>
  <c r="V40" i="3"/>
  <c r="J44" i="3"/>
  <c r="V48" i="3"/>
  <c r="J52" i="3"/>
  <c r="V56" i="3"/>
  <c r="H61" i="3"/>
  <c r="V64" i="3"/>
  <c r="J68" i="3"/>
  <c r="V72" i="3"/>
  <c r="V76" i="3"/>
  <c r="J80" i="3"/>
  <c r="V84" i="3"/>
  <c r="J86" i="3"/>
  <c r="V92" i="3"/>
  <c r="V96" i="3"/>
  <c r="J98" i="3"/>
  <c r="V104" i="3"/>
  <c r="V108" i="3"/>
  <c r="J110" i="3"/>
  <c r="V116" i="3"/>
  <c r="J118" i="3"/>
  <c r="J124" i="3"/>
  <c r="J128" i="3"/>
  <c r="V136" i="3"/>
  <c r="J138" i="3"/>
  <c r="V140" i="3"/>
  <c r="V144" i="3"/>
  <c r="J148" i="3"/>
  <c r="J156" i="3"/>
  <c r="J160" i="3"/>
  <c r="J164" i="3"/>
  <c r="J169" i="3"/>
  <c r="V170" i="3"/>
  <c r="J181" i="3"/>
  <c r="J16" i="4"/>
  <c r="R18" i="4"/>
  <c r="J20" i="4"/>
  <c r="F22" i="4"/>
  <c r="V22" i="4"/>
  <c r="R15" i="5"/>
  <c r="P18" i="5"/>
  <c r="R25" i="5"/>
  <c r="J27" i="5"/>
  <c r="R29" i="5"/>
  <c r="J31" i="5"/>
  <c r="R33" i="5"/>
  <c r="J34" i="5"/>
  <c r="R36" i="5"/>
  <c r="L16" i="6"/>
  <c r="R24" i="6"/>
  <c r="L12" i="7"/>
  <c r="F15" i="7"/>
  <c r="V15" i="7"/>
  <c r="D18" i="7"/>
  <c r="T18" i="7"/>
  <c r="R21" i="7"/>
  <c r="F25" i="7"/>
  <c r="V25" i="7"/>
  <c r="F29" i="7"/>
  <c r="V29" i="7"/>
  <c r="F33" i="7"/>
  <c r="V33" i="7"/>
  <c r="F36" i="7"/>
  <c r="V36" i="7"/>
  <c r="J16" i="8"/>
  <c r="R18" i="8"/>
  <c r="J20" i="8"/>
  <c r="F22" i="8"/>
  <c r="V22" i="8"/>
  <c r="F14" i="9"/>
  <c r="V14" i="9"/>
  <c r="N16" i="9"/>
  <c r="F18" i="9"/>
  <c r="V18" i="9"/>
  <c r="V22" i="9"/>
  <c r="R23" i="9"/>
  <c r="J26" i="9"/>
  <c r="F27" i="9"/>
  <c r="V30" i="9"/>
  <c r="V34" i="9"/>
  <c r="R35" i="9"/>
  <c r="J38" i="9"/>
  <c r="F39" i="9"/>
  <c r="F43" i="9"/>
  <c r="R44" i="9"/>
  <c r="F46" i="9"/>
  <c r="V46" i="9"/>
  <c r="R47" i="9"/>
  <c r="J48" i="9"/>
  <c r="V50" i="9"/>
  <c r="J54" i="9"/>
  <c r="V58" i="9"/>
  <c r="J62" i="9"/>
  <c r="J66" i="9"/>
  <c r="F67" i="9"/>
  <c r="R68" i="9"/>
  <c r="J70" i="9"/>
  <c r="F71" i="9"/>
  <c r="J74" i="9"/>
  <c r="F75" i="9"/>
  <c r="R76" i="9"/>
  <c r="F78" i="9"/>
  <c r="V78" i="9"/>
  <c r="R79" i="9"/>
  <c r="J82" i="9"/>
  <c r="F83" i="9"/>
  <c r="J86" i="9"/>
  <c r="F87" i="9"/>
  <c r="R88" i="9"/>
  <c r="F90" i="9"/>
  <c r="V90" i="9"/>
  <c r="R91" i="9"/>
  <c r="R97" i="9"/>
  <c r="L12" i="10"/>
  <c r="F15" i="10"/>
  <c r="V15" i="10"/>
  <c r="D18" i="10"/>
  <c r="T18" i="10"/>
  <c r="X18" i="10" s="1"/>
  <c r="R21" i="10"/>
  <c r="F25" i="10"/>
  <c r="V25" i="10"/>
  <c r="F29" i="10"/>
  <c r="V29" i="10"/>
  <c r="F33" i="10"/>
  <c r="V33" i="10"/>
  <c r="F36" i="10"/>
  <c r="V36" i="10"/>
  <c r="J16" i="11"/>
  <c r="R18" i="11"/>
  <c r="J20" i="11"/>
  <c r="F22" i="11"/>
  <c r="V22" i="11"/>
  <c r="J148" i="12"/>
  <c r="J144" i="12"/>
  <c r="J138" i="12"/>
  <c r="J132" i="12"/>
  <c r="J128" i="12"/>
  <c r="J124" i="12"/>
  <c r="J120" i="12"/>
  <c r="J116" i="12"/>
  <c r="J106" i="12"/>
  <c r="J100" i="12"/>
  <c r="J94" i="12"/>
  <c r="J88" i="12"/>
  <c r="J82" i="12"/>
  <c r="J76" i="12"/>
  <c r="J68" i="12"/>
  <c r="J64" i="12"/>
  <c r="J159" i="12"/>
  <c r="J154" i="12"/>
  <c r="J141" i="12"/>
  <c r="J131" i="12"/>
  <c r="J123" i="12"/>
  <c r="J119" i="12"/>
  <c r="J115" i="12"/>
  <c r="J111" i="12"/>
  <c r="J103" i="12"/>
  <c r="J91" i="12"/>
  <c r="J79" i="12"/>
  <c r="J151" i="12"/>
  <c r="J118" i="12"/>
  <c r="J114" i="12"/>
  <c r="J108" i="12"/>
  <c r="J147" i="12"/>
  <c r="J143" i="12"/>
  <c r="J137" i="12"/>
  <c r="J127" i="12"/>
  <c r="J113" i="12"/>
  <c r="J105" i="12"/>
  <c r="J99" i="12"/>
  <c r="J93" i="12"/>
  <c r="J87" i="12"/>
  <c r="J81" i="12"/>
  <c r="J73" i="12"/>
  <c r="J67" i="12"/>
  <c r="J61" i="12"/>
  <c r="J53" i="12"/>
  <c r="J45" i="12"/>
  <c r="J153" i="12"/>
  <c r="J140" i="12"/>
  <c r="J136" i="12"/>
  <c r="J130" i="12"/>
  <c r="J122" i="12"/>
  <c r="J110" i="12"/>
  <c r="J102" i="12"/>
  <c r="J90" i="12"/>
  <c r="J78" i="12"/>
  <c r="J72" i="12"/>
  <c r="J60" i="12"/>
  <c r="H53" i="12"/>
  <c r="J139" i="12"/>
  <c r="J135" i="12"/>
  <c r="J117" i="12"/>
  <c r="J107" i="12"/>
  <c r="J95" i="12"/>
  <c r="J83" i="12"/>
  <c r="J71" i="12"/>
  <c r="J59" i="12"/>
  <c r="J51" i="12"/>
  <c r="J43" i="12"/>
  <c r="J155" i="12"/>
  <c r="J150" i="12"/>
  <c r="J146" i="12"/>
  <c r="J142" i="12"/>
  <c r="J134" i="12"/>
  <c r="J126" i="12"/>
  <c r="J112" i="12"/>
  <c r="J104" i="12"/>
  <c r="J98" i="12"/>
  <c r="J92" i="12"/>
  <c r="J86" i="12"/>
  <c r="J80" i="12"/>
  <c r="X17" i="12"/>
  <c r="F22" i="12"/>
  <c r="V22" i="12"/>
  <c r="J26" i="12"/>
  <c r="F27" i="12"/>
  <c r="V30" i="12"/>
  <c r="J34" i="12"/>
  <c r="F35" i="12"/>
  <c r="V38" i="12"/>
  <c r="J42" i="12"/>
  <c r="J47" i="12"/>
  <c r="J48" i="12"/>
  <c r="J49" i="12"/>
  <c r="F59" i="12"/>
  <c r="V61" i="12"/>
  <c r="X67" i="12"/>
  <c r="J70" i="12"/>
  <c r="J75" i="12"/>
  <c r="F79" i="12"/>
  <c r="J85" i="12"/>
  <c r="V86" i="12"/>
  <c r="J89" i="12"/>
  <c r="F98" i="12"/>
  <c r="X102" i="12"/>
  <c r="L104" i="12"/>
  <c r="V117" i="12"/>
  <c r="J121" i="12"/>
  <c r="F126" i="12"/>
  <c r="J133" i="12"/>
  <c r="F155" i="12"/>
  <c r="J34" i="13"/>
  <c r="J31" i="13"/>
  <c r="J27" i="13"/>
  <c r="J24" i="13"/>
  <c r="J21" i="13"/>
  <c r="J18" i="13"/>
  <c r="J36" i="13"/>
  <c r="J33" i="13"/>
  <c r="J29" i="13"/>
  <c r="J25" i="13"/>
  <c r="H18" i="13"/>
  <c r="J15" i="13"/>
  <c r="J22" i="13"/>
  <c r="N12" i="13"/>
  <c r="L12" i="13"/>
  <c r="Z15" i="13"/>
  <c r="T18" i="13"/>
  <c r="F141" i="15"/>
  <c r="F137" i="15"/>
  <c r="F125" i="15"/>
  <c r="F121" i="15"/>
  <c r="F117" i="15"/>
  <c r="F113" i="15"/>
  <c r="F109" i="15"/>
  <c r="F105" i="15"/>
  <c r="F100" i="15"/>
  <c r="F97" i="15"/>
  <c r="F93" i="15"/>
  <c r="F88" i="15"/>
  <c r="F85" i="15"/>
  <c r="F81" i="15"/>
  <c r="F76" i="15"/>
  <c r="F73" i="15"/>
  <c r="F65" i="15"/>
  <c r="F61" i="15"/>
  <c r="F53" i="15"/>
  <c r="F45" i="15"/>
  <c r="F37" i="15"/>
  <c r="F29" i="15"/>
  <c r="F21" i="15"/>
  <c r="F152" i="15"/>
  <c r="F147" i="15"/>
  <c r="F131" i="15"/>
  <c r="F124" i="15"/>
  <c r="F112" i="15"/>
  <c r="F108" i="15"/>
  <c r="F96" i="15"/>
  <c r="F84" i="15"/>
  <c r="F72" i="15"/>
  <c r="F64" i="15"/>
  <c r="F60" i="15"/>
  <c r="F51" i="15"/>
  <c r="F44" i="15"/>
  <c r="F36" i="15"/>
  <c r="F28" i="15"/>
  <c r="F144" i="15"/>
  <c r="F134" i="15"/>
  <c r="F107" i="15"/>
  <c r="F102" i="15"/>
  <c r="F99" i="15"/>
  <c r="F90" i="15"/>
  <c r="F87" i="15"/>
  <c r="F78" i="15"/>
  <c r="F75" i="15"/>
  <c r="F71" i="15"/>
  <c r="F59" i="15"/>
  <c r="F43" i="15"/>
  <c r="F35" i="15"/>
  <c r="F27" i="15"/>
  <c r="F130" i="15"/>
  <c r="F70" i="15"/>
  <c r="F58" i="15"/>
  <c r="F42" i="15"/>
  <c r="F34" i="15"/>
  <c r="F26" i="15"/>
  <c r="F146" i="15"/>
  <c r="F140" i="15"/>
  <c r="F136" i="15"/>
  <c r="F133" i="15"/>
  <c r="F129" i="15"/>
  <c r="F120" i="15"/>
  <c r="F116" i="15"/>
  <c r="F104" i="15"/>
  <c r="F101" i="15"/>
  <c r="F92" i="15"/>
  <c r="F89" i="15"/>
  <c r="F80" i="15"/>
  <c r="F77" i="15"/>
  <c r="F69" i="15"/>
  <c r="F57" i="15"/>
  <c r="F52" i="15"/>
  <c r="F41" i="15"/>
  <c r="F33" i="15"/>
  <c r="F25" i="15"/>
  <c r="F20" i="15"/>
  <c r="F132" i="15"/>
  <c r="F128" i="15"/>
  <c r="F123" i="15"/>
  <c r="F111" i="15"/>
  <c r="F95" i="15"/>
  <c r="F83" i="15"/>
  <c r="F68" i="15"/>
  <c r="F63" i="15"/>
  <c r="F56" i="15"/>
  <c r="F40" i="15"/>
  <c r="F32" i="15"/>
  <c r="F24" i="15"/>
  <c r="L12" i="15"/>
  <c r="F148" i="15"/>
  <c r="F139" i="15"/>
  <c r="F135" i="15"/>
  <c r="F127" i="15"/>
  <c r="F119" i="15"/>
  <c r="F115" i="15"/>
  <c r="F106" i="15"/>
  <c r="F103" i="15"/>
  <c r="F98" i="15"/>
  <c r="F91" i="15"/>
  <c r="F86" i="15"/>
  <c r="F79" i="15"/>
  <c r="F74" i="15"/>
  <c r="F67" i="15"/>
  <c r="F55" i="15"/>
  <c r="D49" i="15"/>
  <c r="F49" i="15" s="1"/>
  <c r="F47" i="15"/>
  <c r="F39" i="15"/>
  <c r="F31" i="15"/>
  <c r="F23" i="15"/>
  <c r="F126" i="15"/>
  <c r="F38" i="9"/>
  <c r="J16" i="10"/>
  <c r="J20" i="10"/>
  <c r="F26" i="12"/>
  <c r="F45" i="12"/>
  <c r="F71" i="12"/>
  <c r="N25" i="23"/>
  <c r="L25" i="23"/>
  <c r="Z12" i="3"/>
  <c r="V25" i="3"/>
  <c r="J29" i="3"/>
  <c r="V33" i="3"/>
  <c r="J37" i="3"/>
  <c r="V41" i="3"/>
  <c r="J45" i="3"/>
  <c r="V49" i="3"/>
  <c r="J53" i="3"/>
  <c r="V57" i="3"/>
  <c r="J61" i="3"/>
  <c r="V65" i="3"/>
  <c r="J69" i="3"/>
  <c r="V73" i="3"/>
  <c r="J75" i="3"/>
  <c r="V77" i="3"/>
  <c r="J81" i="3"/>
  <c r="V85" i="3"/>
  <c r="J89" i="3"/>
  <c r="V93" i="3"/>
  <c r="J95" i="3"/>
  <c r="V97" i="3"/>
  <c r="J101" i="3"/>
  <c r="V105" i="3"/>
  <c r="J107" i="3"/>
  <c r="V109" i="3"/>
  <c r="J113" i="3"/>
  <c r="V117" i="3"/>
  <c r="J121" i="3"/>
  <c r="J125" i="3"/>
  <c r="J129" i="3"/>
  <c r="J133" i="3"/>
  <c r="V137" i="3"/>
  <c r="V145" i="3"/>
  <c r="J149" i="3"/>
  <c r="J153" i="3"/>
  <c r="V157" i="3"/>
  <c r="V161" i="3"/>
  <c r="V165" i="3"/>
  <c r="J172" i="3"/>
  <c r="L12" i="4"/>
  <c r="F15" i="4"/>
  <c r="V15" i="4"/>
  <c r="D18" i="4"/>
  <c r="T18" i="4"/>
  <c r="R21" i="4"/>
  <c r="F25" i="4"/>
  <c r="V25" i="4"/>
  <c r="F29" i="4"/>
  <c r="V29" i="4"/>
  <c r="F33" i="4"/>
  <c r="V33" i="4"/>
  <c r="F36" i="4"/>
  <c r="V36" i="4"/>
  <c r="J16" i="5"/>
  <c r="R18" i="5"/>
  <c r="J20" i="5"/>
  <c r="F22" i="5"/>
  <c r="V22" i="5"/>
  <c r="F14" i="6"/>
  <c r="V14" i="6"/>
  <c r="N16" i="6"/>
  <c r="F18" i="6"/>
  <c r="V18" i="6"/>
  <c r="F22" i="6"/>
  <c r="V22" i="6"/>
  <c r="V24" i="6"/>
  <c r="F28" i="6"/>
  <c r="V28" i="6"/>
  <c r="F31" i="6"/>
  <c r="V31" i="6"/>
  <c r="N12" i="7"/>
  <c r="F18" i="7"/>
  <c r="V18" i="7"/>
  <c r="J22" i="7"/>
  <c r="R24" i="7"/>
  <c r="L12" i="8"/>
  <c r="F15" i="8"/>
  <c r="V15" i="8"/>
  <c r="D18" i="8"/>
  <c r="T18" i="8"/>
  <c r="R21" i="8"/>
  <c r="F25" i="8"/>
  <c r="V25" i="8"/>
  <c r="F29" i="8"/>
  <c r="V29" i="8"/>
  <c r="F33" i="8"/>
  <c r="V33" i="8"/>
  <c r="F36" i="8"/>
  <c r="V36" i="8"/>
  <c r="L12" i="9"/>
  <c r="P16" i="9"/>
  <c r="F20" i="9"/>
  <c r="V23" i="9"/>
  <c r="R24" i="9"/>
  <c r="J27" i="9"/>
  <c r="F28" i="9"/>
  <c r="F32" i="9"/>
  <c r="V35" i="9"/>
  <c r="R36" i="9"/>
  <c r="J39" i="9"/>
  <c r="F40" i="9"/>
  <c r="J43" i="9"/>
  <c r="V47" i="9"/>
  <c r="F52" i="9"/>
  <c r="R53" i="9"/>
  <c r="F55" i="9"/>
  <c r="V55" i="9"/>
  <c r="R56" i="9"/>
  <c r="J57" i="9"/>
  <c r="F60" i="9"/>
  <c r="R61" i="9"/>
  <c r="F63" i="9"/>
  <c r="V63" i="9"/>
  <c r="R64" i="9"/>
  <c r="J67" i="9"/>
  <c r="J71" i="9"/>
  <c r="F72" i="9"/>
  <c r="R73" i="9"/>
  <c r="J75" i="9"/>
  <c r="V79" i="9"/>
  <c r="R80" i="9"/>
  <c r="J83" i="9"/>
  <c r="F84" i="9"/>
  <c r="R85" i="9"/>
  <c r="J87" i="9"/>
  <c r="V91" i="9"/>
  <c r="F95" i="9"/>
  <c r="V95" i="9"/>
  <c r="V97" i="9"/>
  <c r="F102" i="9"/>
  <c r="V102" i="9"/>
  <c r="N12" i="10"/>
  <c r="F18" i="10"/>
  <c r="V18" i="10"/>
  <c r="J22" i="10"/>
  <c r="R24" i="10"/>
  <c r="P27" i="10"/>
  <c r="L12" i="11"/>
  <c r="F15" i="11"/>
  <c r="V15" i="11"/>
  <c r="D18" i="11"/>
  <c r="T18" i="11"/>
  <c r="R21" i="11"/>
  <c r="F25" i="11"/>
  <c r="V25" i="11"/>
  <c r="F29" i="11"/>
  <c r="V29" i="11"/>
  <c r="F33" i="11"/>
  <c r="V33" i="11"/>
  <c r="F36" i="11"/>
  <c r="V36" i="11"/>
  <c r="L12" i="12"/>
  <c r="N12" i="12" s="1"/>
  <c r="V23" i="12"/>
  <c r="J27" i="12"/>
  <c r="F28" i="12"/>
  <c r="V31" i="12"/>
  <c r="J35" i="12"/>
  <c r="F36" i="12"/>
  <c r="V39" i="12"/>
  <c r="T53" i="12"/>
  <c r="V55" i="12"/>
  <c r="J65" i="12"/>
  <c r="V66" i="12"/>
  <c r="X90" i="12"/>
  <c r="J101" i="12"/>
  <c r="Z102" i="12"/>
  <c r="N104" i="12"/>
  <c r="Z127" i="12"/>
  <c r="V137" i="12"/>
  <c r="X25" i="13"/>
  <c r="X22" i="14"/>
  <c r="F30" i="15"/>
  <c r="Z74" i="15"/>
  <c r="N76" i="15"/>
  <c r="Z98" i="15"/>
  <c r="N100" i="15"/>
  <c r="F145" i="15"/>
  <c r="L15" i="18"/>
  <c r="D12" i="18"/>
  <c r="J16" i="7"/>
  <c r="J20" i="7"/>
  <c r="F43" i="12"/>
  <c r="F49" i="12"/>
  <c r="J24" i="3"/>
  <c r="V26" i="3"/>
  <c r="J30" i="3"/>
  <c r="V34" i="3"/>
  <c r="J38" i="3"/>
  <c r="V42" i="3"/>
  <c r="J46" i="3"/>
  <c r="V50" i="3"/>
  <c r="J54" i="3"/>
  <c r="V58" i="3"/>
  <c r="J64" i="3"/>
  <c r="V66" i="3"/>
  <c r="J70" i="3"/>
  <c r="V74" i="3"/>
  <c r="V78" i="3"/>
  <c r="J82" i="3"/>
  <c r="V90" i="3"/>
  <c r="J92" i="3"/>
  <c r="V94" i="3"/>
  <c r="V102" i="3"/>
  <c r="J104" i="3"/>
  <c r="V106" i="3"/>
  <c r="V114" i="3"/>
  <c r="J116" i="3"/>
  <c r="V122" i="3"/>
  <c r="J126" i="3"/>
  <c r="J130" i="3"/>
  <c r="J134" i="3"/>
  <c r="J142" i="3"/>
  <c r="V146" i="3"/>
  <c r="J150" i="3"/>
  <c r="J154" i="3"/>
  <c r="V158" i="3"/>
  <c r="V162" i="3"/>
  <c r="X165" i="3"/>
  <c r="J167" i="3"/>
  <c r="V168" i="3"/>
  <c r="V176" i="3"/>
  <c r="V180" i="3"/>
  <c r="N12" i="4"/>
  <c r="F18" i="4"/>
  <c r="V18" i="4"/>
  <c r="R24" i="4"/>
  <c r="P27" i="4"/>
  <c r="L12" i="5"/>
  <c r="F15" i="5"/>
  <c r="V15" i="5"/>
  <c r="D18" i="5"/>
  <c r="T18" i="5"/>
  <c r="R21" i="5"/>
  <c r="F25" i="5"/>
  <c r="V25" i="5"/>
  <c r="F29" i="5"/>
  <c r="V29" i="5"/>
  <c r="F33" i="5"/>
  <c r="V33" i="5"/>
  <c r="V36" i="5"/>
  <c r="J15" i="7"/>
  <c r="H18" i="7"/>
  <c r="F21" i="7"/>
  <c r="V21" i="7"/>
  <c r="J25" i="7"/>
  <c r="R27" i="7"/>
  <c r="J29" i="7"/>
  <c r="R31" i="7"/>
  <c r="J33" i="7"/>
  <c r="J36" i="7"/>
  <c r="N12" i="8"/>
  <c r="F18" i="8"/>
  <c r="V18" i="8"/>
  <c r="R24" i="8"/>
  <c r="N12" i="9"/>
  <c r="J14" i="9"/>
  <c r="Z14" i="9"/>
  <c r="R16" i="9"/>
  <c r="J18" i="9"/>
  <c r="J20" i="9"/>
  <c r="F21" i="9"/>
  <c r="V24" i="9"/>
  <c r="R25" i="9"/>
  <c r="J28" i="9"/>
  <c r="F29" i="9"/>
  <c r="J32" i="9"/>
  <c r="F33" i="9"/>
  <c r="V36" i="9"/>
  <c r="R37" i="9"/>
  <c r="J40" i="9"/>
  <c r="F41" i="9"/>
  <c r="R42" i="9"/>
  <c r="F44" i="9"/>
  <c r="V44" i="9"/>
  <c r="R45" i="9"/>
  <c r="J46" i="9"/>
  <c r="F49" i="9"/>
  <c r="J52" i="9"/>
  <c r="V56" i="9"/>
  <c r="J60" i="9"/>
  <c r="V64" i="9"/>
  <c r="R65" i="9"/>
  <c r="F68" i="9"/>
  <c r="V68" i="9"/>
  <c r="R69" i="9"/>
  <c r="J72" i="9"/>
  <c r="F76" i="9"/>
  <c r="V76" i="9"/>
  <c r="R77" i="9"/>
  <c r="J78" i="9"/>
  <c r="V80" i="9"/>
  <c r="R81" i="9"/>
  <c r="J84" i="9"/>
  <c r="F88" i="9"/>
  <c r="V88" i="9"/>
  <c r="R89" i="9"/>
  <c r="J90" i="9"/>
  <c r="J15" i="10"/>
  <c r="H18" i="10"/>
  <c r="F21" i="10"/>
  <c r="V21" i="10"/>
  <c r="J25" i="10"/>
  <c r="R27" i="10"/>
  <c r="J29" i="10"/>
  <c r="R31" i="10"/>
  <c r="J33" i="10"/>
  <c r="R34" i="10"/>
  <c r="J36" i="10"/>
  <c r="F18" i="11"/>
  <c r="V18" i="11"/>
  <c r="R24" i="11"/>
  <c r="V24" i="12"/>
  <c r="F29" i="12"/>
  <c r="V32" i="12"/>
  <c r="J36" i="12"/>
  <c r="F37" i="12"/>
  <c r="V40" i="12"/>
  <c r="V50" i="12"/>
  <c r="V51" i="12"/>
  <c r="F58" i="12"/>
  <c r="Z67" i="12"/>
  <c r="J69" i="12"/>
  <c r="J74" i="12"/>
  <c r="Z80" i="12"/>
  <c r="F82" i="12"/>
  <c r="J84" i="12"/>
  <c r="Z90" i="12"/>
  <c r="L92" i="12"/>
  <c r="V93" i="12"/>
  <c r="V98" i="12"/>
  <c r="J125" i="12"/>
  <c r="F142" i="12"/>
  <c r="J145" i="12"/>
  <c r="P150" i="12"/>
  <c r="X150" i="12" s="1"/>
  <c r="Z150" i="12" s="1"/>
  <c r="X151" i="12"/>
  <c r="Z151" i="12" s="1"/>
  <c r="L150" i="12"/>
  <c r="L15" i="13"/>
  <c r="D18" i="13"/>
  <c r="F20" i="14"/>
  <c r="F16" i="14"/>
  <c r="F34" i="14"/>
  <c r="F31" i="14"/>
  <c r="F27" i="14"/>
  <c r="F24" i="14"/>
  <c r="F21" i="14"/>
  <c r="F18" i="14"/>
  <c r="F36" i="14"/>
  <c r="F33" i="14"/>
  <c r="F29" i="14"/>
  <c r="F25" i="14"/>
  <c r="D18" i="14"/>
  <c r="F15" i="14"/>
  <c r="L12" i="14"/>
  <c r="F22" i="14"/>
  <c r="F82" i="15"/>
  <c r="F110" i="15"/>
  <c r="F118" i="15"/>
  <c r="X22" i="16"/>
  <c r="L34" i="17"/>
  <c r="N73" i="24"/>
  <c r="L73" i="24"/>
  <c r="D27" i="26"/>
  <c r="F75" i="12"/>
  <c r="V27" i="3"/>
  <c r="V35" i="3"/>
  <c r="V51" i="3"/>
  <c r="V59" i="3"/>
  <c r="V63" i="3"/>
  <c r="V67" i="3"/>
  <c r="V79" i="3"/>
  <c r="J83" i="3"/>
  <c r="J87" i="3"/>
  <c r="V91" i="3"/>
  <c r="J99" i="3"/>
  <c r="V103" i="3"/>
  <c r="J111" i="3"/>
  <c r="V115" i="3"/>
  <c r="J119" i="3"/>
  <c r="V123" i="3"/>
  <c r="V127" i="3"/>
  <c r="J131" i="3"/>
  <c r="J135" i="3"/>
  <c r="J139" i="3"/>
  <c r="J143" i="3"/>
  <c r="V147" i="3"/>
  <c r="J151" i="3"/>
  <c r="V155" i="3"/>
  <c r="J157" i="3"/>
  <c r="V159" i="3"/>
  <c r="J161" i="3"/>
  <c r="J170" i="3"/>
  <c r="V171" i="3"/>
  <c r="F21" i="4"/>
  <c r="R27" i="4"/>
  <c r="R31" i="4"/>
  <c r="R34" i="4"/>
  <c r="J18" i="7"/>
  <c r="F24" i="7"/>
  <c r="V24" i="7"/>
  <c r="F21" i="8"/>
  <c r="R27" i="8"/>
  <c r="R31" i="8"/>
  <c r="R34" i="8"/>
  <c r="D16" i="9"/>
  <c r="R19" i="9"/>
  <c r="F22" i="9"/>
  <c r="R26" i="9"/>
  <c r="F30" i="9"/>
  <c r="R31" i="9"/>
  <c r="F34" i="9"/>
  <c r="R38" i="9"/>
  <c r="V45" i="9"/>
  <c r="F50" i="9"/>
  <c r="R51" i="9"/>
  <c r="F53" i="9"/>
  <c r="V53" i="9"/>
  <c r="R54" i="9"/>
  <c r="J55" i="9"/>
  <c r="F58" i="9"/>
  <c r="R59" i="9"/>
  <c r="F61" i="9"/>
  <c r="V61" i="9"/>
  <c r="R62" i="9"/>
  <c r="J63" i="9"/>
  <c r="V65" i="9"/>
  <c r="R66" i="9"/>
  <c r="V69" i="9"/>
  <c r="R70" i="9"/>
  <c r="F73" i="9"/>
  <c r="V73" i="9"/>
  <c r="R74" i="9"/>
  <c r="V77" i="9"/>
  <c r="V81" i="9"/>
  <c r="R82" i="9"/>
  <c r="F85" i="9"/>
  <c r="V85" i="9"/>
  <c r="R86" i="9"/>
  <c r="V89" i="9"/>
  <c r="R93" i="9"/>
  <c r="J95" i="9"/>
  <c r="R99" i="9"/>
  <c r="J102" i="9"/>
  <c r="J18" i="10"/>
  <c r="F24" i="10"/>
  <c r="V24" i="10"/>
  <c r="F21" i="11"/>
  <c r="R27" i="11"/>
  <c r="R31" i="11"/>
  <c r="R34" i="11"/>
  <c r="F30" i="12"/>
  <c r="F38" i="12"/>
  <c r="V41" i="12"/>
  <c r="V42" i="12"/>
  <c r="V43" i="12"/>
  <c r="V44" i="12"/>
  <c r="V45" i="12"/>
  <c r="V46" i="12"/>
  <c r="V48" i="12"/>
  <c r="F55" i="12"/>
  <c r="J58" i="12"/>
  <c r="J62" i="12"/>
  <c r="F63" i="12"/>
  <c r="F64" i="12"/>
  <c r="V70" i="12"/>
  <c r="V71" i="12"/>
  <c r="N92" i="12"/>
  <c r="V94" i="12"/>
  <c r="F94" i="15"/>
  <c r="F20" i="16"/>
  <c r="F16" i="16"/>
  <c r="F34" i="16"/>
  <c r="F31" i="16"/>
  <c r="F27" i="16"/>
  <c r="F24" i="16"/>
  <c r="F21" i="16"/>
  <c r="F18" i="16"/>
  <c r="F36" i="16"/>
  <c r="F33" i="16"/>
  <c r="F29" i="16"/>
  <c r="F25" i="16"/>
  <c r="D18" i="16"/>
  <c r="F15" i="16"/>
  <c r="L12" i="16"/>
  <c r="F22" i="16"/>
  <c r="L58" i="18"/>
  <c r="N58" i="18" s="1"/>
  <c r="Z24" i="22"/>
  <c r="X24" i="22"/>
  <c r="F54" i="9"/>
  <c r="F57" i="9"/>
  <c r="F62" i="9"/>
  <c r="F48" i="12"/>
  <c r="V43" i="3"/>
  <c r="X15" i="3"/>
  <c r="V28" i="3"/>
  <c r="V36" i="3"/>
  <c r="V44" i="3"/>
  <c r="J48" i="3"/>
  <c r="V52" i="3"/>
  <c r="J56" i="3"/>
  <c r="V68" i="3"/>
  <c r="J72" i="3"/>
  <c r="J76" i="3"/>
  <c r="V80" i="3"/>
  <c r="J84" i="3"/>
  <c r="V88" i="3"/>
  <c r="J90" i="3"/>
  <c r="J96" i="3"/>
  <c r="V100" i="3"/>
  <c r="J102" i="3"/>
  <c r="J108" i="3"/>
  <c r="V112" i="3"/>
  <c r="J114" i="3"/>
  <c r="V120" i="3"/>
  <c r="J122" i="3"/>
  <c r="V124" i="3"/>
  <c r="V128" i="3"/>
  <c r="V132" i="3"/>
  <c r="J136" i="3"/>
  <c r="J140" i="3"/>
  <c r="J144" i="3"/>
  <c r="V148" i="3"/>
  <c r="V152" i="3"/>
  <c r="V156" i="3"/>
  <c r="V160" i="3"/>
  <c r="J165" i="3"/>
  <c r="V166" i="3"/>
  <c r="J180" i="3"/>
  <c r="R16" i="4"/>
  <c r="R20" i="4"/>
  <c r="F24" i="4"/>
  <c r="V24" i="4"/>
  <c r="H18" i="5"/>
  <c r="V21" i="5"/>
  <c r="R27" i="5"/>
  <c r="R31" i="5"/>
  <c r="R34" i="5"/>
  <c r="T16" i="6"/>
  <c r="X12" i="7"/>
  <c r="J21" i="7"/>
  <c r="F27" i="7"/>
  <c r="V27" i="7"/>
  <c r="F31" i="7"/>
  <c r="V31" i="7"/>
  <c r="F34" i="7"/>
  <c r="V34" i="7"/>
  <c r="R16" i="8"/>
  <c r="R20" i="8"/>
  <c r="F24" i="8"/>
  <c r="V24" i="8"/>
  <c r="F16" i="9"/>
  <c r="V16" i="9"/>
  <c r="F23" i="9"/>
  <c r="V26" i="9"/>
  <c r="R27" i="9"/>
  <c r="J34" i="9"/>
  <c r="F35" i="9"/>
  <c r="V38" i="9"/>
  <c r="R39" i="9"/>
  <c r="F42" i="9"/>
  <c r="V42" i="9"/>
  <c r="R43" i="9"/>
  <c r="J44" i="9"/>
  <c r="F47" i="9"/>
  <c r="R48" i="9"/>
  <c r="J50" i="9"/>
  <c r="V54" i="9"/>
  <c r="J58" i="9"/>
  <c r="V62" i="9"/>
  <c r="V66" i="9"/>
  <c r="R67" i="9"/>
  <c r="J68" i="9"/>
  <c r="V70" i="9"/>
  <c r="R71" i="9"/>
  <c r="V74" i="9"/>
  <c r="R75" i="9"/>
  <c r="J76" i="9"/>
  <c r="F79" i="9"/>
  <c r="V82" i="9"/>
  <c r="R83" i="9"/>
  <c r="V86" i="9"/>
  <c r="R87" i="9"/>
  <c r="J88" i="9"/>
  <c r="F91" i="9"/>
  <c r="F97" i="9"/>
  <c r="X12" i="10"/>
  <c r="J21" i="10"/>
  <c r="F27" i="10"/>
  <c r="V27" i="10"/>
  <c r="F31" i="10"/>
  <c r="V31" i="10"/>
  <c r="F34" i="10"/>
  <c r="V34" i="10"/>
  <c r="L15" i="11"/>
  <c r="R16" i="11"/>
  <c r="R20" i="11"/>
  <c r="X21" i="11"/>
  <c r="F24" i="11"/>
  <c r="V24" i="11"/>
  <c r="L25" i="11"/>
  <c r="L29" i="11"/>
  <c r="L33" i="11"/>
  <c r="V150" i="12"/>
  <c r="V140" i="12"/>
  <c r="V136" i="12"/>
  <c r="V112" i="12"/>
  <c r="V104" i="12"/>
  <c r="V92" i="12"/>
  <c r="V80" i="12"/>
  <c r="V72" i="12"/>
  <c r="V60" i="12"/>
  <c r="V155" i="12"/>
  <c r="V139" i="12"/>
  <c r="V135" i="12"/>
  <c r="V107" i="12"/>
  <c r="V95" i="12"/>
  <c r="V83" i="12"/>
  <c r="V152" i="12"/>
  <c r="V146" i="12"/>
  <c r="V142" i="12"/>
  <c r="V138" i="12"/>
  <c r="V134" i="12"/>
  <c r="V126" i="12"/>
  <c r="V106" i="12"/>
  <c r="V145" i="12"/>
  <c r="V141" i="12"/>
  <c r="V133" i="12"/>
  <c r="V129" i="12"/>
  <c r="V125" i="12"/>
  <c r="V121" i="12"/>
  <c r="V109" i="12"/>
  <c r="V101" i="12"/>
  <c r="V97" i="12"/>
  <c r="V89" i="12"/>
  <c r="V85" i="12"/>
  <c r="V77" i="12"/>
  <c r="V69" i="12"/>
  <c r="V65" i="12"/>
  <c r="V57" i="12"/>
  <c r="V49" i="12"/>
  <c r="V154" i="12"/>
  <c r="V148" i="12"/>
  <c r="V144" i="12"/>
  <c r="V132" i="12"/>
  <c r="V128" i="12"/>
  <c r="V124" i="12"/>
  <c r="V120" i="12"/>
  <c r="V116" i="12"/>
  <c r="V108" i="12"/>
  <c r="V100" i="12"/>
  <c r="V96" i="12"/>
  <c r="V88" i="12"/>
  <c r="V84" i="12"/>
  <c r="V76" i="12"/>
  <c r="V68" i="12"/>
  <c r="V64" i="12"/>
  <c r="V56" i="12"/>
  <c r="V159" i="12"/>
  <c r="V151" i="12"/>
  <c r="V147" i="12"/>
  <c r="V143" i="12"/>
  <c r="V131" i="12"/>
  <c r="V127" i="12"/>
  <c r="V123" i="12"/>
  <c r="V119" i="12"/>
  <c r="V115" i="12"/>
  <c r="V111" i="12"/>
  <c r="V103" i="12"/>
  <c r="V99" i="12"/>
  <c r="V91" i="12"/>
  <c r="V87" i="12"/>
  <c r="V79" i="12"/>
  <c r="V75" i="12"/>
  <c r="V67" i="12"/>
  <c r="V63" i="12"/>
  <c r="V53" i="12"/>
  <c r="V47" i="12"/>
  <c r="V130" i="12"/>
  <c r="V122" i="12"/>
  <c r="V118" i="12"/>
  <c r="V114" i="12"/>
  <c r="V110" i="12"/>
  <c r="V102" i="12"/>
  <c r="V90" i="12"/>
  <c r="V78" i="12"/>
  <c r="V74" i="12"/>
  <c r="F23" i="12"/>
  <c r="V26" i="12"/>
  <c r="J30" i="12"/>
  <c r="F31" i="12"/>
  <c r="V34" i="12"/>
  <c r="J38" i="12"/>
  <c r="F39" i="12"/>
  <c r="N55" i="12"/>
  <c r="V59" i="12"/>
  <c r="J63" i="12"/>
  <c r="F68" i="12"/>
  <c r="J77" i="12"/>
  <c r="F91" i="12"/>
  <c r="J97" i="12"/>
  <c r="F117" i="12"/>
  <c r="F134" i="12"/>
  <c r="N150" i="12"/>
  <c r="Z86" i="15"/>
  <c r="N88" i="15"/>
  <c r="Z106" i="15"/>
  <c r="F138" i="15"/>
  <c r="P12" i="18"/>
  <c r="X18" i="18"/>
  <c r="P36" i="19"/>
  <c r="F26" i="9"/>
  <c r="F66" i="9"/>
  <c r="N143" i="15"/>
  <c r="V29" i="3"/>
  <c r="V37" i="3"/>
  <c r="V45" i="3"/>
  <c r="V53" i="3"/>
  <c r="J57" i="3"/>
  <c r="J63" i="3"/>
  <c r="J65" i="3"/>
  <c r="V69" i="3"/>
  <c r="J73" i="3"/>
  <c r="J77" i="3"/>
  <c r="V81" i="3"/>
  <c r="J85" i="3"/>
  <c r="X88" i="3"/>
  <c r="Z88" i="3" s="1"/>
  <c r="V89" i="3"/>
  <c r="L90" i="3"/>
  <c r="N90" i="3" s="1"/>
  <c r="J93" i="3"/>
  <c r="J97" i="3"/>
  <c r="X100" i="3"/>
  <c r="Z100" i="3" s="1"/>
  <c r="V101" i="3"/>
  <c r="L102" i="3"/>
  <c r="N102" i="3" s="1"/>
  <c r="J105" i="3"/>
  <c r="J109" i="3"/>
  <c r="X112" i="3"/>
  <c r="Z112" i="3" s="1"/>
  <c r="V113" i="3"/>
  <c r="L114" i="3"/>
  <c r="N114" i="3" s="1"/>
  <c r="J117" i="3"/>
  <c r="V121" i="3"/>
  <c r="V125" i="3"/>
  <c r="J127" i="3"/>
  <c r="V129" i="3"/>
  <c r="V133" i="3"/>
  <c r="J137" i="3"/>
  <c r="V141" i="3"/>
  <c r="J145" i="3"/>
  <c r="V149" i="3"/>
  <c r="V153" i="3"/>
  <c r="J155" i="3"/>
  <c r="D164" i="3"/>
  <c r="L164" i="3" s="1"/>
  <c r="N164" i="3" s="1"/>
  <c r="J168" i="3"/>
  <c r="V169" i="3"/>
  <c r="X12" i="4"/>
  <c r="F27" i="4"/>
  <c r="V27" i="4"/>
  <c r="F31" i="4"/>
  <c r="V31" i="4"/>
  <c r="F34" i="4"/>
  <c r="L15" i="5"/>
  <c r="R16" i="5"/>
  <c r="X21" i="5"/>
  <c r="L25" i="5"/>
  <c r="L29" i="5"/>
  <c r="L33" i="5"/>
  <c r="V16" i="6"/>
  <c r="V20" i="6"/>
  <c r="V26" i="6"/>
  <c r="Z12" i="7"/>
  <c r="F16" i="7"/>
  <c r="V16" i="7"/>
  <c r="L21" i="7"/>
  <c r="J24" i="7"/>
  <c r="X34" i="7"/>
  <c r="X12" i="8"/>
  <c r="X24" i="8"/>
  <c r="F27" i="8"/>
  <c r="V27" i="8"/>
  <c r="F31" i="8"/>
  <c r="V31" i="8"/>
  <c r="F34" i="8"/>
  <c r="X12" i="9"/>
  <c r="F19" i="9"/>
  <c r="V19" i="9"/>
  <c r="R20" i="9"/>
  <c r="F24" i="9"/>
  <c r="V27" i="9"/>
  <c r="R28" i="9"/>
  <c r="F31" i="9"/>
  <c r="V31" i="9"/>
  <c r="R32" i="9"/>
  <c r="J35" i="9"/>
  <c r="F36" i="9"/>
  <c r="V39" i="9"/>
  <c r="R40" i="9"/>
  <c r="V43" i="9"/>
  <c r="J47" i="9"/>
  <c r="F51" i="9"/>
  <c r="V51" i="9"/>
  <c r="R52" i="9"/>
  <c r="J53" i="9"/>
  <c r="F56" i="9"/>
  <c r="R57" i="9"/>
  <c r="F59" i="9"/>
  <c r="V59" i="9"/>
  <c r="R60" i="9"/>
  <c r="J61" i="9"/>
  <c r="F64" i="9"/>
  <c r="V67" i="9"/>
  <c r="V71" i="9"/>
  <c r="R72" i="9"/>
  <c r="J73" i="9"/>
  <c r="V75" i="9"/>
  <c r="J79" i="9"/>
  <c r="F80" i="9"/>
  <c r="V83" i="9"/>
  <c r="R84" i="9"/>
  <c r="J85" i="9"/>
  <c r="V87" i="9"/>
  <c r="J91" i="9"/>
  <c r="F93" i="9"/>
  <c r="V93" i="9"/>
  <c r="J97" i="9"/>
  <c r="F99" i="9"/>
  <c r="V99" i="9"/>
  <c r="Z12" i="10"/>
  <c r="F16" i="10"/>
  <c r="V16" i="10"/>
  <c r="L21" i="10"/>
  <c r="J24" i="10"/>
  <c r="X34" i="10"/>
  <c r="X12" i="11"/>
  <c r="X24" i="11"/>
  <c r="F27" i="11"/>
  <c r="V27" i="11"/>
  <c r="F31" i="11"/>
  <c r="V31" i="11"/>
  <c r="F34" i="11"/>
  <c r="J23" i="12"/>
  <c r="F24" i="12"/>
  <c r="V27" i="12"/>
  <c r="J31" i="12"/>
  <c r="F32" i="12"/>
  <c r="V35" i="12"/>
  <c r="J39" i="12"/>
  <c r="F40" i="12"/>
  <c r="D53" i="12"/>
  <c r="J55" i="12"/>
  <c r="N56" i="12"/>
  <c r="J57" i="12"/>
  <c r="V58" i="12"/>
  <c r="X78" i="12"/>
  <c r="J109" i="12"/>
  <c r="Z110" i="12"/>
  <c r="N112" i="12"/>
  <c r="N117" i="12"/>
  <c r="X130" i="12"/>
  <c r="Z130" i="12" s="1"/>
  <c r="J152" i="12"/>
  <c r="V153" i="12"/>
  <c r="X33" i="13"/>
  <c r="F66" i="15"/>
  <c r="F114" i="15"/>
  <c r="F122" i="15"/>
  <c r="N25" i="25"/>
  <c r="L25" i="25"/>
  <c r="F70" i="9"/>
  <c r="F74" i="9"/>
  <c r="F86" i="9"/>
  <c r="V30" i="3"/>
  <c r="V38" i="3"/>
  <c r="V46" i="3"/>
  <c r="V54" i="3"/>
  <c r="T61" i="3"/>
  <c r="V70" i="3"/>
  <c r="J74" i="3"/>
  <c r="J78" i="3"/>
  <c r="V82" i="3"/>
  <c r="V86" i="3"/>
  <c r="J88" i="3"/>
  <c r="J94" i="3"/>
  <c r="V98" i="3"/>
  <c r="J100" i="3"/>
  <c r="J106" i="3"/>
  <c r="V110" i="3"/>
  <c r="J112" i="3"/>
  <c r="V118" i="3"/>
  <c r="J120" i="3"/>
  <c r="V126" i="3"/>
  <c r="V130" i="3"/>
  <c r="J132" i="3"/>
  <c r="V134" i="3"/>
  <c r="V138" i="3"/>
  <c r="V142" i="3"/>
  <c r="J146" i="3"/>
  <c r="V150" i="3"/>
  <c r="J152" i="3"/>
  <c r="V154" i="3"/>
  <c r="J158" i="3"/>
  <c r="J162" i="3"/>
  <c r="V164" i="3"/>
  <c r="J171" i="3"/>
  <c r="V172" i="3"/>
  <c r="F16" i="4"/>
  <c r="J27" i="7"/>
  <c r="J31" i="7"/>
  <c r="F16" i="8"/>
  <c r="R21" i="9"/>
  <c r="F25" i="9"/>
  <c r="R29" i="9"/>
  <c r="R33" i="9"/>
  <c r="F37" i="9"/>
  <c r="R41" i="9"/>
  <c r="F45" i="9"/>
  <c r="R46" i="9"/>
  <c r="F48" i="9"/>
  <c r="V48" i="9"/>
  <c r="R49" i="9"/>
  <c r="V52" i="9"/>
  <c r="V60" i="9"/>
  <c r="J64" i="9"/>
  <c r="F65" i="9"/>
  <c r="F69" i="9"/>
  <c r="V72" i="9"/>
  <c r="F77" i="9"/>
  <c r="R78" i="9"/>
  <c r="F81" i="9"/>
  <c r="J27" i="10"/>
  <c r="J31" i="10"/>
  <c r="F16" i="11"/>
  <c r="N18" i="11"/>
  <c r="F25" i="12"/>
  <c r="F33" i="12"/>
  <c r="V36" i="12"/>
  <c r="F41" i="12"/>
  <c r="F50" i="12"/>
  <c r="F51" i="12"/>
  <c r="J56" i="12"/>
  <c r="F66" i="12"/>
  <c r="V73" i="12"/>
  <c r="F76" i="12"/>
  <c r="Z78" i="12"/>
  <c r="L80" i="12"/>
  <c r="N80" i="12" s="1"/>
  <c r="V81" i="12"/>
  <c r="F86" i="12"/>
  <c r="F94" i="12"/>
  <c r="J96" i="12"/>
  <c r="X122" i="12"/>
  <c r="Z122" i="12" s="1"/>
  <c r="F146" i="12"/>
  <c r="L20" i="14"/>
  <c r="J16" i="14"/>
  <c r="J20" i="14"/>
  <c r="V22" i="14"/>
  <c r="J22" i="15"/>
  <c r="V26" i="15"/>
  <c r="J30" i="15"/>
  <c r="V34" i="15"/>
  <c r="J38" i="15"/>
  <c r="V42" i="15"/>
  <c r="J46" i="15"/>
  <c r="T49" i="15"/>
  <c r="J54" i="15"/>
  <c r="V58" i="15"/>
  <c r="J62" i="15"/>
  <c r="J66" i="15"/>
  <c r="V70" i="15"/>
  <c r="V74" i="15"/>
  <c r="J76" i="15"/>
  <c r="J82" i="15"/>
  <c r="V86" i="15"/>
  <c r="J88" i="15"/>
  <c r="J94" i="15"/>
  <c r="V98" i="15"/>
  <c r="J100" i="15"/>
  <c r="V106" i="15"/>
  <c r="J110" i="15"/>
  <c r="J114" i="15"/>
  <c r="J118" i="15"/>
  <c r="J122" i="15"/>
  <c r="J126" i="15"/>
  <c r="V130" i="15"/>
  <c r="J138" i="15"/>
  <c r="J145" i="15"/>
  <c r="V146" i="15"/>
  <c r="J16" i="16"/>
  <c r="J20" i="16"/>
  <c r="V22" i="16"/>
  <c r="R15" i="17"/>
  <c r="P18" i="17"/>
  <c r="R25" i="17"/>
  <c r="J27" i="17"/>
  <c r="R29" i="17"/>
  <c r="J31" i="17"/>
  <c r="R33" i="17"/>
  <c r="J34" i="17"/>
  <c r="R36" i="17"/>
  <c r="J21" i="18"/>
  <c r="V25" i="18"/>
  <c r="J29" i="18"/>
  <c r="V33" i="18"/>
  <c r="J37" i="18"/>
  <c r="V41" i="18"/>
  <c r="J45" i="18"/>
  <c r="V49" i="18"/>
  <c r="V50" i="18"/>
  <c r="V51" i="18"/>
  <c r="V52" i="18"/>
  <c r="V53" i="18"/>
  <c r="J58" i="18"/>
  <c r="V62" i="18"/>
  <c r="J69" i="18"/>
  <c r="J70" i="18"/>
  <c r="V71" i="18"/>
  <c r="V72" i="18"/>
  <c r="V73" i="18"/>
  <c r="V85" i="18"/>
  <c r="Z101" i="18"/>
  <c r="Z129" i="18"/>
  <c r="N13" i="20"/>
  <c r="L13" i="20"/>
  <c r="P12" i="21"/>
  <c r="X15" i="21"/>
  <c r="Z15" i="21" s="1"/>
  <c r="Z68" i="21"/>
  <c r="N70" i="21"/>
  <c r="Z80" i="21"/>
  <c r="Z21" i="23"/>
  <c r="X21" i="23"/>
  <c r="N61" i="24"/>
  <c r="L61" i="24"/>
  <c r="T86" i="27"/>
  <c r="N33" i="27"/>
  <c r="F18" i="13"/>
  <c r="V18" i="13"/>
  <c r="R24" i="13"/>
  <c r="V15" i="14"/>
  <c r="T18" i="14"/>
  <c r="X18" i="14" s="1"/>
  <c r="R21" i="14"/>
  <c r="V25" i="14"/>
  <c r="V29" i="14"/>
  <c r="V33" i="14"/>
  <c r="V36" i="14"/>
  <c r="J23" i="15"/>
  <c r="V27" i="15"/>
  <c r="J31" i="15"/>
  <c r="V35" i="15"/>
  <c r="J39" i="15"/>
  <c r="V43" i="15"/>
  <c r="J47" i="15"/>
  <c r="V49" i="15"/>
  <c r="J55" i="15"/>
  <c r="V59" i="15"/>
  <c r="V63" i="15"/>
  <c r="J67" i="15"/>
  <c r="V71" i="15"/>
  <c r="V75" i="15"/>
  <c r="J79" i="15"/>
  <c r="V83" i="15"/>
  <c r="V87" i="15"/>
  <c r="J91" i="15"/>
  <c r="V95" i="15"/>
  <c r="V99" i="15"/>
  <c r="J103" i="15"/>
  <c r="V107" i="15"/>
  <c r="V111" i="15"/>
  <c r="J115" i="15"/>
  <c r="J119" i="15"/>
  <c r="V123" i="15"/>
  <c r="J127" i="15"/>
  <c r="J135" i="15"/>
  <c r="J139" i="15"/>
  <c r="J143" i="15"/>
  <c r="J148" i="15"/>
  <c r="V15" i="16"/>
  <c r="T18" i="16"/>
  <c r="R21" i="16"/>
  <c r="V25" i="16"/>
  <c r="V29" i="16"/>
  <c r="V33" i="16"/>
  <c r="V36" i="16"/>
  <c r="J16" i="17"/>
  <c r="R18" i="17"/>
  <c r="J20" i="17"/>
  <c r="F22" i="17"/>
  <c r="V22" i="17"/>
  <c r="J156" i="18"/>
  <c r="J147" i="18"/>
  <c r="J143" i="18"/>
  <c r="J137" i="18"/>
  <c r="J131" i="18"/>
  <c r="J127" i="18"/>
  <c r="J123" i="18"/>
  <c r="J119" i="18"/>
  <c r="J115" i="18"/>
  <c r="J111" i="18"/>
  <c r="J103" i="18"/>
  <c r="J99" i="18"/>
  <c r="J91" i="18"/>
  <c r="J87" i="18"/>
  <c r="J79" i="18"/>
  <c r="J71" i="18"/>
  <c r="J67" i="18"/>
  <c r="J59" i="18"/>
  <c r="J57" i="18"/>
  <c r="J51" i="18"/>
  <c r="J153" i="18"/>
  <c r="J140" i="18"/>
  <c r="J130" i="18"/>
  <c r="J118" i="18"/>
  <c r="J114" i="18"/>
  <c r="J108" i="18"/>
  <c r="J102" i="18"/>
  <c r="J96" i="18"/>
  <c r="J90" i="18"/>
  <c r="J150" i="18"/>
  <c r="J113" i="18"/>
  <c r="J105" i="18"/>
  <c r="J93" i="18"/>
  <c r="J160" i="18"/>
  <c r="J155" i="18"/>
  <c r="J146" i="18"/>
  <c r="J142" i="18"/>
  <c r="J136" i="18"/>
  <c r="J126" i="18"/>
  <c r="J122" i="18"/>
  <c r="J110" i="18"/>
  <c r="J98" i="18"/>
  <c r="J86" i="18"/>
  <c r="J152" i="18"/>
  <c r="J139" i="18"/>
  <c r="J135" i="18"/>
  <c r="J129" i="18"/>
  <c r="J117" i="18"/>
  <c r="J107" i="18"/>
  <c r="J101" i="18"/>
  <c r="J95" i="18"/>
  <c r="J89" i="18"/>
  <c r="J83" i="18"/>
  <c r="J75" i="18"/>
  <c r="J138" i="18"/>
  <c r="J134" i="18"/>
  <c r="J112" i="18"/>
  <c r="J104" i="18"/>
  <c r="J92" i="18"/>
  <c r="J80" i="18"/>
  <c r="J74" i="18"/>
  <c r="J62" i="18"/>
  <c r="J154" i="18"/>
  <c r="J149" i="18"/>
  <c r="J145" i="18"/>
  <c r="J141" i="18"/>
  <c r="J133" i="18"/>
  <c r="J125" i="18"/>
  <c r="J121" i="18"/>
  <c r="J109" i="18"/>
  <c r="J97" i="18"/>
  <c r="J85" i="18"/>
  <c r="J73" i="18"/>
  <c r="J61" i="18"/>
  <c r="J53" i="18"/>
  <c r="J22" i="18"/>
  <c r="V26" i="18"/>
  <c r="J30" i="18"/>
  <c r="V34" i="18"/>
  <c r="J38" i="18"/>
  <c r="V42" i="18"/>
  <c r="J46" i="18"/>
  <c r="T55" i="18"/>
  <c r="Z80" i="18"/>
  <c r="V84" i="18"/>
  <c r="J100" i="18"/>
  <c r="J144" i="18"/>
  <c r="J151" i="18"/>
  <c r="V160" i="18"/>
  <c r="Z26" i="21"/>
  <c r="Z56" i="21"/>
  <c r="N58" i="21"/>
  <c r="Z74" i="21"/>
  <c r="N65" i="24"/>
  <c r="N15" i="25"/>
  <c r="L15" i="25"/>
  <c r="H18" i="25"/>
  <c r="F88" i="27"/>
  <c r="F83" i="27"/>
  <c r="F73" i="27"/>
  <c r="F72" i="27"/>
  <c r="F84" i="27"/>
  <c r="F77" i="27"/>
  <c r="F80" i="27"/>
  <c r="F76" i="27"/>
  <c r="F75" i="27"/>
  <c r="F47" i="27"/>
  <c r="F43" i="27"/>
  <c r="F35" i="27"/>
  <c r="F27" i="27"/>
  <c r="F19" i="27"/>
  <c r="F65" i="27"/>
  <c r="F62" i="27"/>
  <c r="F57" i="27"/>
  <c r="F54" i="27"/>
  <c r="F46" i="27"/>
  <c r="F42" i="27"/>
  <c r="F34" i="27"/>
  <c r="F26" i="27"/>
  <c r="F53" i="27"/>
  <c r="F45" i="27"/>
  <c r="F41" i="27"/>
  <c r="F32" i="27"/>
  <c r="F25" i="27"/>
  <c r="F71" i="27"/>
  <c r="F67" i="27"/>
  <c r="F64" i="27"/>
  <c r="F59" i="27"/>
  <c r="F56" i="27"/>
  <c r="F52" i="27"/>
  <c r="F40" i="27"/>
  <c r="F24" i="27"/>
  <c r="F51" i="27"/>
  <c r="F39" i="27"/>
  <c r="F23" i="27"/>
  <c r="F18" i="27"/>
  <c r="F82" i="27"/>
  <c r="F70" i="27"/>
  <c r="F66" i="27"/>
  <c r="F61" i="27"/>
  <c r="F58" i="27"/>
  <c r="F50" i="27"/>
  <c r="F38" i="27"/>
  <c r="F33" i="27"/>
  <c r="F22" i="27"/>
  <c r="F81" i="27"/>
  <c r="F69" i="27"/>
  <c r="F49" i="27"/>
  <c r="F44" i="27"/>
  <c r="F37" i="27"/>
  <c r="F30" i="27"/>
  <c r="F21" i="27"/>
  <c r="F20" i="27"/>
  <c r="F28" i="27"/>
  <c r="Z71" i="27"/>
  <c r="V34" i="28"/>
  <c r="V31" i="28"/>
  <c r="V27" i="28"/>
  <c r="X12" i="28"/>
  <c r="V21" i="28"/>
  <c r="V18" i="28"/>
  <c r="V36" i="28"/>
  <c r="V33" i="28"/>
  <c r="V29" i="28"/>
  <c r="V25" i="28"/>
  <c r="T18" i="28"/>
  <c r="V15" i="28"/>
  <c r="V22" i="28"/>
  <c r="V16" i="28"/>
  <c r="V20" i="28"/>
  <c r="V24" i="28"/>
  <c r="Z12" i="28"/>
  <c r="F21" i="13"/>
  <c r="V21" i="13"/>
  <c r="R27" i="13"/>
  <c r="R31" i="13"/>
  <c r="R34" i="13"/>
  <c r="N12" i="14"/>
  <c r="V18" i="14"/>
  <c r="J22" i="14"/>
  <c r="R24" i="14"/>
  <c r="N12" i="15"/>
  <c r="V20" i="15"/>
  <c r="J24" i="15"/>
  <c r="V28" i="15"/>
  <c r="J32" i="15"/>
  <c r="V36" i="15"/>
  <c r="J40" i="15"/>
  <c r="V44" i="15"/>
  <c r="H49" i="15"/>
  <c r="J49" i="15" s="1"/>
  <c r="V52" i="15"/>
  <c r="J56" i="15"/>
  <c r="V60" i="15"/>
  <c r="V64" i="15"/>
  <c r="J68" i="15"/>
  <c r="V72" i="15"/>
  <c r="J74" i="15"/>
  <c r="V80" i="15"/>
  <c r="V84" i="15"/>
  <c r="J86" i="15"/>
  <c r="V92" i="15"/>
  <c r="V96" i="15"/>
  <c r="J98" i="15"/>
  <c r="V104" i="15"/>
  <c r="J106" i="15"/>
  <c r="V108" i="15"/>
  <c r="V112" i="15"/>
  <c r="V116" i="15"/>
  <c r="V120" i="15"/>
  <c r="X123" i="15"/>
  <c r="Z123" i="15" s="1"/>
  <c r="V124" i="15"/>
  <c r="J128" i="15"/>
  <c r="J132" i="15"/>
  <c r="V136" i="15"/>
  <c r="V140" i="15"/>
  <c r="V144" i="15"/>
  <c r="V152" i="15"/>
  <c r="N12" i="16"/>
  <c r="X15" i="16"/>
  <c r="V18" i="16"/>
  <c r="J22" i="16"/>
  <c r="R24" i="16"/>
  <c r="X25" i="16"/>
  <c r="X29" i="16"/>
  <c r="X33" i="16"/>
  <c r="L12" i="17"/>
  <c r="F15" i="17"/>
  <c r="V15" i="17"/>
  <c r="L16" i="17"/>
  <c r="D18" i="17"/>
  <c r="T18" i="17"/>
  <c r="L20" i="17"/>
  <c r="R21" i="17"/>
  <c r="X22" i="17"/>
  <c r="F25" i="17"/>
  <c r="V25" i="17"/>
  <c r="F29" i="17"/>
  <c r="V29" i="17"/>
  <c r="F33" i="17"/>
  <c r="V33" i="17"/>
  <c r="F36" i="17"/>
  <c r="V36" i="17"/>
  <c r="J23" i="18"/>
  <c r="V27" i="18"/>
  <c r="J31" i="18"/>
  <c r="V35" i="18"/>
  <c r="J39" i="18"/>
  <c r="V43" i="18"/>
  <c r="J47" i="18"/>
  <c r="Z57" i="18"/>
  <c r="V60" i="18"/>
  <c r="V61" i="18"/>
  <c r="V68" i="18"/>
  <c r="V80" i="18"/>
  <c r="V82" i="18"/>
  <c r="L84" i="18"/>
  <c r="N84" i="18" s="1"/>
  <c r="X89" i="18"/>
  <c r="V104" i="18"/>
  <c r="N106" i="18"/>
  <c r="J132" i="18"/>
  <c r="V152" i="18"/>
  <c r="T27" i="20"/>
  <c r="Z18" i="20"/>
  <c r="F79" i="21"/>
  <c r="F74" i="21"/>
  <c r="F70" i="21"/>
  <c r="F67" i="21"/>
  <c r="F63" i="21"/>
  <c r="F58" i="21"/>
  <c r="F55" i="21"/>
  <c r="F39" i="21"/>
  <c r="F35" i="21"/>
  <c r="F27" i="21"/>
  <c r="F19" i="21"/>
  <c r="F85" i="21"/>
  <c r="F82" i="21"/>
  <c r="F78" i="21"/>
  <c r="F66" i="21"/>
  <c r="F54" i="21"/>
  <c r="F49" i="21"/>
  <c r="F46" i="21"/>
  <c r="F38" i="21"/>
  <c r="F34" i="21"/>
  <c r="F25" i="21"/>
  <c r="F81" i="21"/>
  <c r="F77" i="21"/>
  <c r="F73" i="21"/>
  <c r="F69" i="21"/>
  <c r="F65" i="21"/>
  <c r="F60" i="21"/>
  <c r="F57" i="21"/>
  <c r="F45" i="21"/>
  <c r="F37" i="21"/>
  <c r="F33" i="21"/>
  <c r="F84" i="21"/>
  <c r="F76" i="21"/>
  <c r="F72" i="21"/>
  <c r="F51" i="21"/>
  <c r="F48" i="21"/>
  <c r="F44" i="21"/>
  <c r="F32" i="21"/>
  <c r="F88" i="21"/>
  <c r="F75" i="21"/>
  <c r="F71" i="21"/>
  <c r="F62" i="21"/>
  <c r="F59" i="21"/>
  <c r="F43" i="21"/>
  <c r="F31" i="21"/>
  <c r="F26" i="21"/>
  <c r="F18" i="21"/>
  <c r="F92" i="21"/>
  <c r="F86" i="21"/>
  <c r="F53" i="21"/>
  <c r="F50" i="21"/>
  <c r="F42" i="21"/>
  <c r="F30" i="21"/>
  <c r="F80" i="21"/>
  <c r="F68" i="21"/>
  <c r="F64" i="21"/>
  <c r="F61" i="21"/>
  <c r="F56" i="21"/>
  <c r="F41" i="21"/>
  <c r="F36" i="21"/>
  <c r="F29" i="21"/>
  <c r="D23" i="21"/>
  <c r="F21" i="21"/>
  <c r="F20" i="21"/>
  <c r="F28" i="21"/>
  <c r="R27" i="22"/>
  <c r="R34" i="22"/>
  <c r="N15" i="23"/>
  <c r="L15" i="23"/>
  <c r="T82" i="24"/>
  <c r="N32" i="24"/>
  <c r="N41" i="24"/>
  <c r="L41" i="24"/>
  <c r="N56" i="24"/>
  <c r="N44" i="27"/>
  <c r="F78" i="27"/>
  <c r="D80" i="27"/>
  <c r="L80" i="27" s="1"/>
  <c r="N80" i="27" s="1"/>
  <c r="L81" i="27"/>
  <c r="N81" i="27" s="1"/>
  <c r="Z79" i="36"/>
  <c r="L153" i="12"/>
  <c r="R16" i="13"/>
  <c r="R20" i="13"/>
  <c r="J15" i="14"/>
  <c r="H18" i="14"/>
  <c r="V21" i="14"/>
  <c r="J25" i="14"/>
  <c r="R27" i="14"/>
  <c r="J29" i="14"/>
  <c r="R31" i="14"/>
  <c r="J33" i="14"/>
  <c r="J36" i="14"/>
  <c r="P12" i="15"/>
  <c r="V21" i="15"/>
  <c r="J25" i="15"/>
  <c r="V29" i="15"/>
  <c r="J33" i="15"/>
  <c r="V37" i="15"/>
  <c r="J41" i="15"/>
  <c r="V45" i="15"/>
  <c r="V53" i="15"/>
  <c r="J57" i="15"/>
  <c r="V61" i="15"/>
  <c r="J63" i="15"/>
  <c r="V65" i="15"/>
  <c r="J69" i="15"/>
  <c r="V73" i="15"/>
  <c r="J77" i="15"/>
  <c r="V81" i="15"/>
  <c r="J83" i="15"/>
  <c r="V85" i="15"/>
  <c r="J89" i="15"/>
  <c r="V93" i="15"/>
  <c r="J95" i="15"/>
  <c r="V97" i="15"/>
  <c r="J101" i="15"/>
  <c r="V105" i="15"/>
  <c r="V109" i="15"/>
  <c r="J111" i="15"/>
  <c r="V113" i="15"/>
  <c r="V117" i="15"/>
  <c r="V121" i="15"/>
  <c r="J123" i="15"/>
  <c r="V125" i="15"/>
  <c r="J129" i="15"/>
  <c r="J133" i="15"/>
  <c r="V137" i="15"/>
  <c r="V141" i="15"/>
  <c r="J146" i="15"/>
  <c r="V147" i="15"/>
  <c r="J15" i="16"/>
  <c r="H18" i="16"/>
  <c r="V21" i="16"/>
  <c r="J25" i="16"/>
  <c r="R27" i="16"/>
  <c r="J29" i="16"/>
  <c r="R31" i="16"/>
  <c r="J33" i="16"/>
  <c r="R34" i="16"/>
  <c r="J36" i="16"/>
  <c r="N12" i="17"/>
  <c r="F18" i="17"/>
  <c r="V18" i="17"/>
  <c r="J22" i="17"/>
  <c r="R24" i="17"/>
  <c r="V20" i="18"/>
  <c r="J24" i="18"/>
  <c r="V28" i="18"/>
  <c r="J32" i="18"/>
  <c r="V36" i="18"/>
  <c r="J40" i="18"/>
  <c r="V44" i="18"/>
  <c r="J48" i="18"/>
  <c r="V57" i="18"/>
  <c r="V59" i="18"/>
  <c r="J64" i="18"/>
  <c r="J65" i="18"/>
  <c r="J66" i="18"/>
  <c r="V67" i="18"/>
  <c r="X69" i="18"/>
  <c r="Z69" i="18" s="1"/>
  <c r="J88" i="18"/>
  <c r="J106" i="18"/>
  <c r="X117" i="18"/>
  <c r="F47" i="21"/>
  <c r="Z58" i="21"/>
  <c r="N64" i="21"/>
  <c r="F83" i="21"/>
  <c r="N33" i="23"/>
  <c r="L33" i="23"/>
  <c r="X14" i="24"/>
  <c r="Z14" i="24" s="1"/>
  <c r="P12" i="24"/>
  <c r="N17" i="24"/>
  <c r="Z54" i="24"/>
  <c r="Z65" i="24"/>
  <c r="N77" i="24"/>
  <c r="L77" i="24"/>
  <c r="F63" i="27"/>
  <c r="H118" i="36"/>
  <c r="V24" i="14"/>
  <c r="V22" i="15"/>
  <c r="V30" i="15"/>
  <c r="V38" i="15"/>
  <c r="J42" i="15"/>
  <c r="V46" i="15"/>
  <c r="J52" i="15"/>
  <c r="V54" i="15"/>
  <c r="J58" i="15"/>
  <c r="V62" i="15"/>
  <c r="V66" i="15"/>
  <c r="J70" i="15"/>
  <c r="V78" i="15"/>
  <c r="J80" i="15"/>
  <c r="V82" i="15"/>
  <c r="V90" i="15"/>
  <c r="J92" i="15"/>
  <c r="V94" i="15"/>
  <c r="V102" i="15"/>
  <c r="J104" i="15"/>
  <c r="V110" i="15"/>
  <c r="V114" i="15"/>
  <c r="J116" i="15"/>
  <c r="V118" i="15"/>
  <c r="J120" i="15"/>
  <c r="V122" i="15"/>
  <c r="V126" i="15"/>
  <c r="J130" i="15"/>
  <c r="V134" i="15"/>
  <c r="J136" i="15"/>
  <c r="V138" i="15"/>
  <c r="J140" i="15"/>
  <c r="V24" i="16"/>
  <c r="R27" i="17"/>
  <c r="R31" i="17"/>
  <c r="R34" i="17"/>
  <c r="H55" i="18"/>
  <c r="J63" i="18"/>
  <c r="J72" i="18"/>
  <c r="J116" i="18"/>
  <c r="Z117" i="18"/>
  <c r="X64" i="21"/>
  <c r="H27" i="22"/>
  <c r="N18" i="22"/>
  <c r="Z21" i="25"/>
  <c r="X21" i="25"/>
  <c r="N13" i="26"/>
  <c r="L13" i="26"/>
  <c r="N22" i="26"/>
  <c r="L22" i="26"/>
  <c r="X44" i="27"/>
  <c r="Z44" i="27" s="1"/>
  <c r="F48" i="27"/>
  <c r="F60" i="27"/>
  <c r="N20" i="28"/>
  <c r="L20" i="28"/>
  <c r="X13" i="13"/>
  <c r="X12" i="14"/>
  <c r="J21" i="14"/>
  <c r="V27" i="14"/>
  <c r="V31" i="14"/>
  <c r="V34" i="14"/>
  <c r="V23" i="15"/>
  <c r="J27" i="15"/>
  <c r="V31" i="15"/>
  <c r="J35" i="15"/>
  <c r="V39" i="15"/>
  <c r="J43" i="15"/>
  <c r="V47" i="15"/>
  <c r="V51" i="15"/>
  <c r="V55" i="15"/>
  <c r="J59" i="15"/>
  <c r="V67" i="15"/>
  <c r="J71" i="15"/>
  <c r="J75" i="15"/>
  <c r="V79" i="15"/>
  <c r="J87" i="15"/>
  <c r="V91" i="15"/>
  <c r="J99" i="15"/>
  <c r="V103" i="15"/>
  <c r="J107" i="15"/>
  <c r="V115" i="15"/>
  <c r="V119" i="15"/>
  <c r="V127" i="15"/>
  <c r="V131" i="15"/>
  <c r="V135" i="15"/>
  <c r="V139" i="15"/>
  <c r="J144" i="15"/>
  <c r="V145" i="15"/>
  <c r="X12" i="16"/>
  <c r="J21" i="16"/>
  <c r="V27" i="16"/>
  <c r="V31" i="16"/>
  <c r="V34" i="16"/>
  <c r="R16" i="17"/>
  <c r="J18" i="17"/>
  <c r="R20" i="17"/>
  <c r="F24" i="17"/>
  <c r="V24" i="17"/>
  <c r="L33" i="17"/>
  <c r="V149" i="18"/>
  <c r="V139" i="18"/>
  <c r="V135" i="18"/>
  <c r="V107" i="18"/>
  <c r="V95" i="18"/>
  <c r="V83" i="18"/>
  <c r="V75" i="18"/>
  <c r="V63" i="18"/>
  <c r="V154" i="18"/>
  <c r="V138" i="18"/>
  <c r="V134" i="18"/>
  <c r="V106" i="18"/>
  <c r="V94" i="18"/>
  <c r="V151" i="18"/>
  <c r="V145" i="18"/>
  <c r="V141" i="18"/>
  <c r="V137" i="18"/>
  <c r="V133" i="18"/>
  <c r="V125" i="18"/>
  <c r="V121" i="18"/>
  <c r="V109" i="18"/>
  <c r="V97" i="18"/>
  <c r="V156" i="18"/>
  <c r="V144" i="18"/>
  <c r="V140" i="18"/>
  <c r="V132" i="18"/>
  <c r="V128" i="18"/>
  <c r="V124" i="18"/>
  <c r="V120" i="18"/>
  <c r="V116" i="18"/>
  <c r="V108" i="18"/>
  <c r="V100" i="18"/>
  <c r="V96" i="18"/>
  <c r="V88" i="18"/>
  <c r="V153" i="18"/>
  <c r="V147" i="18"/>
  <c r="V143" i="18"/>
  <c r="V131" i="18"/>
  <c r="V127" i="18"/>
  <c r="V123" i="18"/>
  <c r="V119" i="18"/>
  <c r="V115" i="18"/>
  <c r="V111" i="18"/>
  <c r="V103" i="18"/>
  <c r="V99" i="18"/>
  <c r="V91" i="18"/>
  <c r="V87" i="18"/>
  <c r="V79" i="18"/>
  <c r="V150" i="18"/>
  <c r="V146" i="18"/>
  <c r="V142" i="18"/>
  <c r="V130" i="18"/>
  <c r="V126" i="18"/>
  <c r="V122" i="18"/>
  <c r="V118" i="18"/>
  <c r="V114" i="18"/>
  <c r="V110" i="18"/>
  <c r="V102" i="18"/>
  <c r="V98" i="18"/>
  <c r="V90" i="18"/>
  <c r="V86" i="18"/>
  <c r="V78" i="18"/>
  <c r="V70" i="18"/>
  <c r="V66" i="18"/>
  <c r="V58" i="18"/>
  <c r="V155" i="18"/>
  <c r="V129" i="18"/>
  <c r="V117" i="18"/>
  <c r="V113" i="18"/>
  <c r="V105" i="18"/>
  <c r="V101" i="18"/>
  <c r="V93" i="18"/>
  <c r="V89" i="18"/>
  <c r="V81" i="18"/>
  <c r="V77" i="18"/>
  <c r="V69" i="18"/>
  <c r="V65" i="18"/>
  <c r="V55" i="18"/>
  <c r="J20" i="18"/>
  <c r="V22" i="18"/>
  <c r="J26" i="18"/>
  <c r="V30" i="18"/>
  <c r="J34" i="18"/>
  <c r="V38" i="18"/>
  <c r="J42" i="18"/>
  <c r="V46" i="18"/>
  <c r="J50" i="18"/>
  <c r="J55" i="18"/>
  <c r="J81" i="18"/>
  <c r="J84" i="18"/>
  <c r="Z92" i="18"/>
  <c r="V112" i="18"/>
  <c r="V136" i="18"/>
  <c r="P149" i="18"/>
  <c r="X149" i="18" s="1"/>
  <c r="Z149" i="18" s="1"/>
  <c r="X150" i="18"/>
  <c r="Z64" i="21"/>
  <c r="R24" i="22"/>
  <c r="R21" i="22"/>
  <c r="R18" i="22"/>
  <c r="R36" i="22"/>
  <c r="R33" i="22"/>
  <c r="R29" i="22"/>
  <c r="R25" i="22"/>
  <c r="P18" i="22"/>
  <c r="R15" i="22"/>
  <c r="R22" i="22"/>
  <c r="X12" i="22"/>
  <c r="R20" i="22"/>
  <c r="R16" i="22"/>
  <c r="T27" i="22"/>
  <c r="N29" i="23"/>
  <c r="L29" i="23"/>
  <c r="Z67" i="24"/>
  <c r="X67" i="24"/>
  <c r="N33" i="25"/>
  <c r="L33" i="25"/>
  <c r="Z32" i="27"/>
  <c r="F36" i="27"/>
  <c r="Z13" i="31"/>
  <c r="X13" i="31"/>
  <c r="P18" i="13"/>
  <c r="R25" i="13"/>
  <c r="R29" i="13"/>
  <c r="R33" i="13"/>
  <c r="Z12" i="14"/>
  <c r="V16" i="14"/>
  <c r="V24" i="15"/>
  <c r="J28" i="15"/>
  <c r="V32" i="15"/>
  <c r="J36" i="15"/>
  <c r="V40" i="15"/>
  <c r="J44" i="15"/>
  <c r="V56" i="15"/>
  <c r="J60" i="15"/>
  <c r="J64" i="15"/>
  <c r="V68" i="15"/>
  <c r="J72" i="15"/>
  <c r="V76" i="15"/>
  <c r="J78" i="15"/>
  <c r="J84" i="15"/>
  <c r="V88" i="15"/>
  <c r="J90" i="15"/>
  <c r="J96" i="15"/>
  <c r="V100" i="15"/>
  <c r="J102" i="15"/>
  <c r="J108" i="15"/>
  <c r="J112" i="15"/>
  <c r="J124" i="15"/>
  <c r="V128" i="15"/>
  <c r="V132" i="15"/>
  <c r="J134" i="15"/>
  <c r="D143" i="15"/>
  <c r="L143" i="15" s="1"/>
  <c r="J147" i="15"/>
  <c r="V148" i="15"/>
  <c r="Z12" i="16"/>
  <c r="V16" i="16"/>
  <c r="F27" i="17"/>
  <c r="V27" i="17"/>
  <c r="F31" i="17"/>
  <c r="V31" i="17"/>
  <c r="V23" i="18"/>
  <c r="J27" i="18"/>
  <c r="V31" i="18"/>
  <c r="J35" i="18"/>
  <c r="V39" i="18"/>
  <c r="J43" i="18"/>
  <c r="V47" i="18"/>
  <c r="N57" i="18"/>
  <c r="V64" i="18"/>
  <c r="V74" i="18"/>
  <c r="J78" i="18"/>
  <c r="J82" i="18"/>
  <c r="V92" i="18"/>
  <c r="N94" i="18"/>
  <c r="L25" i="19"/>
  <c r="Z36" i="21"/>
  <c r="F52" i="21"/>
  <c r="N68" i="21"/>
  <c r="L74" i="21"/>
  <c r="N74" i="21" s="1"/>
  <c r="N80" i="21"/>
  <c r="N29" i="25"/>
  <c r="L29" i="25"/>
  <c r="L12" i="27"/>
  <c r="N12" i="27" s="1"/>
  <c r="P12" i="27"/>
  <c r="X15" i="27"/>
  <c r="F74" i="27"/>
  <c r="J15" i="19"/>
  <c r="H18" i="19"/>
  <c r="F21" i="19"/>
  <c r="V21" i="19"/>
  <c r="J25" i="19"/>
  <c r="R27" i="19"/>
  <c r="J29" i="19"/>
  <c r="R31" i="19"/>
  <c r="J33" i="19"/>
  <c r="R34" i="19"/>
  <c r="J36" i="19"/>
  <c r="X15" i="20"/>
  <c r="F18" i="20"/>
  <c r="V18" i="20"/>
  <c r="N20" i="20"/>
  <c r="J22" i="20"/>
  <c r="R24" i="20"/>
  <c r="J20" i="21"/>
  <c r="T23" i="21"/>
  <c r="J28" i="21"/>
  <c r="V32" i="21"/>
  <c r="V36" i="21"/>
  <c r="J40" i="21"/>
  <c r="V44" i="21"/>
  <c r="V48" i="21"/>
  <c r="J52" i="21"/>
  <c r="V56" i="21"/>
  <c r="J58" i="21"/>
  <c r="V64" i="21"/>
  <c r="V68" i="21"/>
  <c r="J70" i="21"/>
  <c r="V72" i="21"/>
  <c r="J74" i="21"/>
  <c r="V76" i="21"/>
  <c r="V80" i="21"/>
  <c r="V84" i="21"/>
  <c r="J18" i="22"/>
  <c r="Z18" i="22"/>
  <c r="F24" i="22"/>
  <c r="V24" i="22"/>
  <c r="J15" i="23"/>
  <c r="H18" i="23"/>
  <c r="F21" i="23"/>
  <c r="V21" i="23"/>
  <c r="J25" i="23"/>
  <c r="R27" i="23"/>
  <c r="J29" i="23"/>
  <c r="R31" i="23"/>
  <c r="J33" i="23"/>
  <c r="R34" i="23"/>
  <c r="J36" i="23"/>
  <c r="J19" i="24"/>
  <c r="V23" i="24"/>
  <c r="J27" i="24"/>
  <c r="V29" i="24"/>
  <c r="J35" i="24"/>
  <c r="V39" i="24"/>
  <c r="J41" i="24"/>
  <c r="V43" i="24"/>
  <c r="J47" i="24"/>
  <c r="V51" i="24"/>
  <c r="J55" i="24"/>
  <c r="V59" i="24"/>
  <c r="J61" i="24"/>
  <c r="V67" i="24"/>
  <c r="V71" i="24"/>
  <c r="J73" i="24"/>
  <c r="V75" i="24"/>
  <c r="J77" i="24"/>
  <c r="V21" i="25"/>
  <c r="J25" i="25"/>
  <c r="R27" i="25"/>
  <c r="J29" i="25"/>
  <c r="R31" i="25"/>
  <c r="J33" i="25"/>
  <c r="R34" i="25"/>
  <c r="J36" i="25"/>
  <c r="R24" i="26"/>
  <c r="V24" i="27"/>
  <c r="V30" i="27"/>
  <c r="J36" i="27"/>
  <c r="V40" i="27"/>
  <c r="V44" i="27"/>
  <c r="J48" i="27"/>
  <c r="V52" i="27"/>
  <c r="V56" i="27"/>
  <c r="J60" i="27"/>
  <c r="V64" i="27"/>
  <c r="J68" i="27"/>
  <c r="J74" i="27"/>
  <c r="J76" i="27"/>
  <c r="J77" i="27"/>
  <c r="J78" i="27"/>
  <c r="J80" i="27"/>
  <c r="J88" i="27"/>
  <c r="V71" i="33"/>
  <c r="V67" i="33"/>
  <c r="V63" i="33"/>
  <c r="V51" i="33"/>
  <c r="V39" i="33"/>
  <c r="V27" i="33"/>
  <c r="V19" i="33"/>
  <c r="V62" i="33"/>
  <c r="V54" i="33"/>
  <c r="V50" i="33"/>
  <c r="V38" i="33"/>
  <c r="V34" i="33"/>
  <c r="V26" i="33"/>
  <c r="V53" i="33"/>
  <c r="V45" i="33"/>
  <c r="V37" i="33"/>
  <c r="V33" i="33"/>
  <c r="V25" i="33"/>
  <c r="V70" i="33"/>
  <c r="V56" i="33"/>
  <c r="V52" i="33"/>
  <c r="V44" i="33"/>
  <c r="V36" i="33"/>
  <c r="V32" i="33"/>
  <c r="V75" i="33"/>
  <c r="V59" i="33"/>
  <c r="V55" i="33"/>
  <c r="V47" i="33"/>
  <c r="V43" i="33"/>
  <c r="V35" i="33"/>
  <c r="V31" i="33"/>
  <c r="T22" i="33"/>
  <c r="V66" i="33"/>
  <c r="V58" i="33"/>
  <c r="V46" i="33"/>
  <c r="V42" i="33"/>
  <c r="V30" i="33"/>
  <c r="V65" i="33"/>
  <c r="V61" i="33"/>
  <c r="V57" i="33"/>
  <c r="V49" i="33"/>
  <c r="V41" i="33"/>
  <c r="V29" i="33"/>
  <c r="V40" i="33"/>
  <c r="F20" i="34"/>
  <c r="F16" i="34"/>
  <c r="F34" i="34"/>
  <c r="F31" i="34"/>
  <c r="F27" i="34"/>
  <c r="F24" i="34"/>
  <c r="F21" i="34"/>
  <c r="F18" i="34"/>
  <c r="F36" i="34"/>
  <c r="F33" i="34"/>
  <c r="F29" i="34"/>
  <c r="F25" i="34"/>
  <c r="D18" i="34"/>
  <c r="F15" i="34"/>
  <c r="L12" i="34"/>
  <c r="F22" i="34"/>
  <c r="Z39" i="36"/>
  <c r="Z59" i="36"/>
  <c r="N61" i="36"/>
  <c r="Z63" i="36"/>
  <c r="N15" i="37"/>
  <c r="H18" i="37"/>
  <c r="R16" i="19"/>
  <c r="J18" i="19"/>
  <c r="R20" i="19"/>
  <c r="F24" i="19"/>
  <c r="V24" i="19"/>
  <c r="F21" i="20"/>
  <c r="V21" i="20"/>
  <c r="J25" i="20"/>
  <c r="R27" i="20"/>
  <c r="J29" i="20"/>
  <c r="R31" i="20"/>
  <c r="J33" i="20"/>
  <c r="R34" i="20"/>
  <c r="J36" i="20"/>
  <c r="J29" i="21"/>
  <c r="V33" i="21"/>
  <c r="V37" i="21"/>
  <c r="J41" i="21"/>
  <c r="V45" i="21"/>
  <c r="J47" i="21"/>
  <c r="V53" i="21"/>
  <c r="V57" i="21"/>
  <c r="J61" i="21"/>
  <c r="V65" i="21"/>
  <c r="V69" i="21"/>
  <c r="V73" i="21"/>
  <c r="V77" i="21"/>
  <c r="V81" i="21"/>
  <c r="J83" i="21"/>
  <c r="F27" i="22"/>
  <c r="V27" i="22"/>
  <c r="F31" i="22"/>
  <c r="V31" i="22"/>
  <c r="F34" i="22"/>
  <c r="V34" i="22"/>
  <c r="J18" i="23"/>
  <c r="V24" i="23"/>
  <c r="V24" i="24"/>
  <c r="H29" i="24"/>
  <c r="V32" i="24"/>
  <c r="J36" i="24"/>
  <c r="V40" i="24"/>
  <c r="V44" i="24"/>
  <c r="J48" i="24"/>
  <c r="V56" i="24"/>
  <c r="J58" i="24"/>
  <c r="V60" i="24"/>
  <c r="J64" i="24"/>
  <c r="V68" i="24"/>
  <c r="J70" i="24"/>
  <c r="V72" i="24"/>
  <c r="V76" i="24"/>
  <c r="R16" i="25"/>
  <c r="R20" i="25"/>
  <c r="V24" i="25"/>
  <c r="H18" i="26"/>
  <c r="R27" i="26"/>
  <c r="R31" i="26"/>
  <c r="J33" i="26"/>
  <c r="R34" i="26"/>
  <c r="J36" i="26"/>
  <c r="V25" i="27"/>
  <c r="H30" i="27"/>
  <c r="L30" i="27" s="1"/>
  <c r="V33" i="27"/>
  <c r="J37" i="27"/>
  <c r="V41" i="27"/>
  <c r="V45" i="27"/>
  <c r="J49" i="27"/>
  <c r="V53" i="27"/>
  <c r="J55" i="27"/>
  <c r="V61" i="27"/>
  <c r="J63" i="27"/>
  <c r="J69" i="27"/>
  <c r="V71" i="27"/>
  <c r="V72" i="27"/>
  <c r="V75" i="27"/>
  <c r="J83" i="27"/>
  <c r="L21" i="28"/>
  <c r="T31" i="29"/>
  <c r="N18" i="30"/>
  <c r="J18" i="30"/>
  <c r="F67" i="30"/>
  <c r="F72" i="30"/>
  <c r="Z76" i="30"/>
  <c r="X34" i="32"/>
  <c r="N25" i="33"/>
  <c r="V28" i="33"/>
  <c r="Z57" i="33"/>
  <c r="V64" i="33"/>
  <c r="Z67" i="33"/>
  <c r="X15" i="35"/>
  <c r="P18" i="35"/>
  <c r="L27" i="36"/>
  <c r="N27" i="36" s="1"/>
  <c r="Z67" i="36"/>
  <c r="N69" i="36"/>
  <c r="Z71" i="36"/>
  <c r="V23" i="42"/>
  <c r="J21" i="19"/>
  <c r="F27" i="19"/>
  <c r="V27" i="19"/>
  <c r="F31" i="19"/>
  <c r="V31" i="19"/>
  <c r="F34" i="19"/>
  <c r="V34" i="19"/>
  <c r="R20" i="20"/>
  <c r="F24" i="20"/>
  <c r="V24" i="20"/>
  <c r="V18" i="21"/>
  <c r="H23" i="21"/>
  <c r="V26" i="21"/>
  <c r="J30" i="21"/>
  <c r="V34" i="21"/>
  <c r="J36" i="21"/>
  <c r="V38" i="21"/>
  <c r="J42" i="21"/>
  <c r="V46" i="21"/>
  <c r="J50" i="21"/>
  <c r="V54" i="21"/>
  <c r="J56" i="21"/>
  <c r="V62" i="21"/>
  <c r="J64" i="21"/>
  <c r="V66" i="21"/>
  <c r="J68" i="21"/>
  <c r="V78" i="21"/>
  <c r="J80" i="21"/>
  <c r="V82" i="21"/>
  <c r="J86" i="21"/>
  <c r="V88" i="21"/>
  <c r="J92" i="21"/>
  <c r="Z12" i="22"/>
  <c r="F16" i="22"/>
  <c r="V16" i="22"/>
  <c r="F20" i="22"/>
  <c r="V20" i="22"/>
  <c r="J24" i="22"/>
  <c r="X12" i="23"/>
  <c r="J21" i="23"/>
  <c r="F27" i="23"/>
  <c r="V27" i="23"/>
  <c r="F31" i="23"/>
  <c r="V31" i="23"/>
  <c r="F34" i="23"/>
  <c r="V34" i="23"/>
  <c r="V17" i="24"/>
  <c r="J21" i="24"/>
  <c r="V25" i="24"/>
  <c r="J29" i="24"/>
  <c r="V33" i="24"/>
  <c r="J37" i="24"/>
  <c r="V45" i="24"/>
  <c r="J49" i="24"/>
  <c r="J53" i="24"/>
  <c r="V57" i="24"/>
  <c r="V65" i="24"/>
  <c r="J67" i="24"/>
  <c r="V69" i="24"/>
  <c r="X12" i="25"/>
  <c r="J21" i="25"/>
  <c r="X24" i="25"/>
  <c r="F27" i="25"/>
  <c r="V27" i="25"/>
  <c r="F31" i="25"/>
  <c r="V31" i="25"/>
  <c r="F34" i="25"/>
  <c r="V34" i="25"/>
  <c r="L15" i="26"/>
  <c r="R16" i="26"/>
  <c r="J18" i="26"/>
  <c r="R20" i="26"/>
  <c r="X21" i="26"/>
  <c r="F24" i="26"/>
  <c r="V24" i="26"/>
  <c r="L25" i="26"/>
  <c r="L29" i="26"/>
  <c r="L33" i="26"/>
  <c r="V81" i="27"/>
  <c r="V77" i="27"/>
  <c r="V73" i="27"/>
  <c r="V83" i="27"/>
  <c r="V82" i="27"/>
  <c r="V18" i="27"/>
  <c r="V26" i="27"/>
  <c r="J30" i="27"/>
  <c r="X33" i="27"/>
  <c r="Z33" i="27" s="1"/>
  <c r="V34" i="27"/>
  <c r="J38" i="27"/>
  <c r="V42" i="27"/>
  <c r="J44" i="27"/>
  <c r="V46" i="27"/>
  <c r="J50" i="27"/>
  <c r="V54" i="27"/>
  <c r="L55" i="27"/>
  <c r="N55" i="27" s="1"/>
  <c r="J58" i="27"/>
  <c r="X61" i="27"/>
  <c r="Z61" i="27" s="1"/>
  <c r="V62" i="27"/>
  <c r="L63" i="27"/>
  <c r="J66" i="27"/>
  <c r="J70" i="27"/>
  <c r="J84" i="27"/>
  <c r="V88" i="27"/>
  <c r="N16" i="28"/>
  <c r="L16" i="28"/>
  <c r="R20" i="29"/>
  <c r="R16" i="29"/>
  <c r="R34" i="29"/>
  <c r="R31" i="29"/>
  <c r="R27" i="29"/>
  <c r="R24" i="29"/>
  <c r="R21" i="29"/>
  <c r="R18" i="29"/>
  <c r="R36" i="29"/>
  <c r="R33" i="29"/>
  <c r="R29" i="29"/>
  <c r="R25" i="29"/>
  <c r="P18" i="29"/>
  <c r="R15" i="29"/>
  <c r="R22" i="29"/>
  <c r="X16" i="29"/>
  <c r="L24" i="29"/>
  <c r="F111" i="30"/>
  <c r="F94" i="30"/>
  <c r="F90" i="30"/>
  <c r="F75" i="30"/>
  <c r="F59" i="30"/>
  <c r="F47" i="30"/>
  <c r="F42" i="30"/>
  <c r="F31" i="30"/>
  <c r="F23" i="30"/>
  <c r="F18" i="30"/>
  <c r="F105" i="30"/>
  <c r="F97" i="30"/>
  <c r="F86" i="30"/>
  <c r="F81" i="30"/>
  <c r="F78" i="30"/>
  <c r="F74" i="30"/>
  <c r="F69" i="30"/>
  <c r="F66" i="30"/>
  <c r="F58" i="30"/>
  <c r="F46" i="30"/>
  <c r="F30" i="30"/>
  <c r="F22" i="30"/>
  <c r="F114" i="30"/>
  <c r="F100" i="30"/>
  <c r="F93" i="30"/>
  <c r="F89" i="30"/>
  <c r="F77" i="30"/>
  <c r="F57" i="30"/>
  <c r="F52" i="30"/>
  <c r="F45" i="30"/>
  <c r="D39" i="30"/>
  <c r="F37" i="30"/>
  <c r="F29" i="30"/>
  <c r="F21" i="30"/>
  <c r="F107" i="30"/>
  <c r="F104" i="30"/>
  <c r="F96" i="30"/>
  <c r="F92" i="30"/>
  <c r="F88" i="30"/>
  <c r="F83" i="30"/>
  <c r="F80" i="30"/>
  <c r="F71" i="30"/>
  <c r="F68" i="30"/>
  <c r="F63" i="30"/>
  <c r="F56" i="30"/>
  <c r="F44" i="30"/>
  <c r="F36" i="30"/>
  <c r="F28" i="30"/>
  <c r="F20" i="30"/>
  <c r="L12" i="30"/>
  <c r="F116" i="30"/>
  <c r="F110" i="30"/>
  <c r="F103" i="30"/>
  <c r="F99" i="30"/>
  <c r="F95" i="30"/>
  <c r="F91" i="30"/>
  <c r="F55" i="30"/>
  <c r="F51" i="30"/>
  <c r="F43" i="30"/>
  <c r="F35" i="30"/>
  <c r="F27" i="30"/>
  <c r="F19" i="30"/>
  <c r="F106" i="30"/>
  <c r="F102" i="30"/>
  <c r="F98" i="30"/>
  <c r="F85" i="30"/>
  <c r="F82" i="30"/>
  <c r="F73" i="30"/>
  <c r="F70" i="30"/>
  <c r="F65" i="30"/>
  <c r="F62" i="30"/>
  <c r="F54" i="30"/>
  <c r="F50" i="30"/>
  <c r="F41" i="30"/>
  <c r="F34" i="30"/>
  <c r="F26" i="30"/>
  <c r="F109" i="30"/>
  <c r="F101" i="30"/>
  <c r="F76" i="30"/>
  <c r="F61" i="30"/>
  <c r="F53" i="30"/>
  <c r="F49" i="30"/>
  <c r="F33" i="30"/>
  <c r="F25" i="30"/>
  <c r="F64" i="30"/>
  <c r="F87" i="30"/>
  <c r="N94" i="30"/>
  <c r="F120" i="30"/>
  <c r="V60" i="33"/>
  <c r="F20" i="19"/>
  <c r="J24" i="19"/>
  <c r="F27" i="20"/>
  <c r="F31" i="20"/>
  <c r="V31" i="20"/>
  <c r="F34" i="20"/>
  <c r="V34" i="20"/>
  <c r="V39" i="21"/>
  <c r="V51" i="21"/>
  <c r="V55" i="21"/>
  <c r="J59" i="21"/>
  <c r="V63" i="21"/>
  <c r="V67" i="21"/>
  <c r="J71" i="21"/>
  <c r="J75" i="21"/>
  <c r="V79" i="21"/>
  <c r="V26" i="24"/>
  <c r="J32" i="24"/>
  <c r="V34" i="24"/>
  <c r="J38" i="24"/>
  <c r="J42" i="24"/>
  <c r="V46" i="24"/>
  <c r="J50" i="24"/>
  <c r="V54" i="24"/>
  <c r="J56" i="24"/>
  <c r="J62" i="24"/>
  <c r="V66" i="24"/>
  <c r="J74" i="24"/>
  <c r="J78" i="24"/>
  <c r="V80" i="24"/>
  <c r="J84" i="24"/>
  <c r="Z12" i="25"/>
  <c r="V16" i="25"/>
  <c r="V20" i="25"/>
  <c r="R22" i="25"/>
  <c r="X12" i="26"/>
  <c r="F27" i="26"/>
  <c r="V27" i="26"/>
  <c r="F31" i="26"/>
  <c r="V31" i="26"/>
  <c r="F34" i="26"/>
  <c r="V34" i="26"/>
  <c r="V27" i="27"/>
  <c r="J33" i="27"/>
  <c r="V35" i="27"/>
  <c r="J39" i="27"/>
  <c r="V43" i="27"/>
  <c r="V47" i="27"/>
  <c r="J51" i="27"/>
  <c r="V59" i="27"/>
  <c r="J61" i="27"/>
  <c r="V67" i="27"/>
  <c r="V74" i="27"/>
  <c r="V78" i="27"/>
  <c r="F34" i="28"/>
  <c r="F31" i="28"/>
  <c r="F27" i="28"/>
  <c r="F21" i="28"/>
  <c r="F18" i="28"/>
  <c r="F36" i="28"/>
  <c r="F33" i="28"/>
  <c r="F29" i="28"/>
  <c r="F25" i="28"/>
  <c r="D18" i="28"/>
  <c r="F15" i="28"/>
  <c r="L12" i="28"/>
  <c r="F22" i="28"/>
  <c r="F84" i="30"/>
  <c r="Z110" i="30"/>
  <c r="T27" i="31"/>
  <c r="L15" i="36"/>
  <c r="D12" i="36"/>
  <c r="J27" i="19"/>
  <c r="J31" i="19"/>
  <c r="J34" i="19"/>
  <c r="X13" i="20"/>
  <c r="F16" i="20"/>
  <c r="F20" i="20"/>
  <c r="L16" i="21"/>
  <c r="J18" i="21"/>
  <c r="J26" i="21"/>
  <c r="V28" i="21"/>
  <c r="J32" i="21"/>
  <c r="V40" i="21"/>
  <c r="J44" i="21"/>
  <c r="J48" i="21"/>
  <c r="V52" i="21"/>
  <c r="V60" i="21"/>
  <c r="J62" i="21"/>
  <c r="J72" i="21"/>
  <c r="J76" i="21"/>
  <c r="J84" i="21"/>
  <c r="J88" i="21"/>
  <c r="J16" i="22"/>
  <c r="J20" i="22"/>
  <c r="F22" i="22"/>
  <c r="V22" i="22"/>
  <c r="R15" i="23"/>
  <c r="P18" i="23"/>
  <c r="R25" i="23"/>
  <c r="J27" i="23"/>
  <c r="R29" i="23"/>
  <c r="J31" i="23"/>
  <c r="R33" i="23"/>
  <c r="J34" i="23"/>
  <c r="R36" i="23"/>
  <c r="D12" i="24"/>
  <c r="J17" i="24"/>
  <c r="V19" i="24"/>
  <c r="J23" i="24"/>
  <c r="V27" i="24"/>
  <c r="V31" i="24"/>
  <c r="V35" i="24"/>
  <c r="J39" i="24"/>
  <c r="J43" i="24"/>
  <c r="V47" i="24"/>
  <c r="J51" i="24"/>
  <c r="V55" i="24"/>
  <c r="J59" i="24"/>
  <c r="V63" i="24"/>
  <c r="J65" i="24"/>
  <c r="J71" i="24"/>
  <c r="J75" i="24"/>
  <c r="R15" i="25"/>
  <c r="P18" i="25"/>
  <c r="R25" i="25"/>
  <c r="J27" i="25"/>
  <c r="R29" i="25"/>
  <c r="J31" i="25"/>
  <c r="R33" i="25"/>
  <c r="J34" i="25"/>
  <c r="R36" i="25"/>
  <c r="Z12" i="26"/>
  <c r="F16" i="26"/>
  <c r="V16" i="26"/>
  <c r="F20" i="26"/>
  <c r="V20" i="26"/>
  <c r="R22" i="26"/>
  <c r="J24" i="26"/>
  <c r="L16" i="27"/>
  <c r="J18" i="27"/>
  <c r="V20" i="27"/>
  <c r="J24" i="27"/>
  <c r="V28" i="27"/>
  <c r="V32" i="27"/>
  <c r="V36" i="27"/>
  <c r="J40" i="27"/>
  <c r="V48" i="27"/>
  <c r="J52" i="27"/>
  <c r="J56" i="27"/>
  <c r="V60" i="27"/>
  <c r="J64" i="27"/>
  <c r="V68" i="27"/>
  <c r="N71" i="27"/>
  <c r="V80" i="27"/>
  <c r="X12" i="29"/>
  <c r="X13" i="29"/>
  <c r="N42" i="30"/>
  <c r="N90" i="30"/>
  <c r="N100" i="30"/>
  <c r="L19" i="33"/>
  <c r="V20" i="33"/>
  <c r="L20" i="34"/>
  <c r="Z27" i="36"/>
  <c r="N50" i="36"/>
  <c r="T103" i="42"/>
  <c r="X137" i="18"/>
  <c r="Z137" i="18" s="1"/>
  <c r="D149" i="18"/>
  <c r="L149" i="18" s="1"/>
  <c r="N149" i="18" s="1"/>
  <c r="J16" i="19"/>
  <c r="F22" i="19"/>
  <c r="L34" i="19"/>
  <c r="X16" i="20"/>
  <c r="X20" i="20"/>
  <c r="L24" i="20"/>
  <c r="R25" i="20"/>
  <c r="R29" i="20"/>
  <c r="R33" i="20"/>
  <c r="R36" i="20"/>
  <c r="L18" i="21"/>
  <c r="N18" i="21" s="1"/>
  <c r="V21" i="21"/>
  <c r="V25" i="21"/>
  <c r="L26" i="21"/>
  <c r="N26" i="21" s="1"/>
  <c r="V29" i="21"/>
  <c r="V41" i="21"/>
  <c r="J45" i="21"/>
  <c r="V49" i="21"/>
  <c r="J51" i="21"/>
  <c r="J57" i="21"/>
  <c r="X60" i="21"/>
  <c r="Z60" i="21" s="1"/>
  <c r="V61" i="21"/>
  <c r="L62" i="21"/>
  <c r="N62" i="21" s="1"/>
  <c r="J65" i="21"/>
  <c r="J69" i="21"/>
  <c r="J73" i="21"/>
  <c r="J77" i="21"/>
  <c r="J81" i="21"/>
  <c r="V85" i="21"/>
  <c r="L88" i="21"/>
  <c r="L12" i="22"/>
  <c r="F15" i="22"/>
  <c r="L16" i="22"/>
  <c r="D18" i="22"/>
  <c r="L20" i="22"/>
  <c r="F25" i="22"/>
  <c r="V25" i="22"/>
  <c r="F29" i="22"/>
  <c r="V29" i="22"/>
  <c r="F33" i="22"/>
  <c r="V33" i="22"/>
  <c r="F36" i="22"/>
  <c r="V36" i="22"/>
  <c r="J16" i="23"/>
  <c r="V22" i="23"/>
  <c r="V20" i="24"/>
  <c r="J24" i="24"/>
  <c r="V36" i="24"/>
  <c r="J40" i="24"/>
  <c r="J44" i="24"/>
  <c r="V48" i="24"/>
  <c r="V52" i="24"/>
  <c r="J54" i="24"/>
  <c r="J60" i="24"/>
  <c r="V64" i="24"/>
  <c r="J68" i="24"/>
  <c r="J72" i="24"/>
  <c r="J76" i="24"/>
  <c r="J80" i="24"/>
  <c r="J16" i="25"/>
  <c r="R18" i="25"/>
  <c r="F22" i="25"/>
  <c r="V22" i="25"/>
  <c r="R15" i="26"/>
  <c r="P18" i="26"/>
  <c r="R25" i="26"/>
  <c r="J27" i="26"/>
  <c r="R29" i="26"/>
  <c r="J31" i="26"/>
  <c r="R33" i="26"/>
  <c r="J34" i="26"/>
  <c r="R36" i="26"/>
  <c r="V21" i="27"/>
  <c r="J25" i="27"/>
  <c r="V37" i="27"/>
  <c r="J41" i="27"/>
  <c r="J45" i="27"/>
  <c r="V49" i="27"/>
  <c r="J53" i="27"/>
  <c r="V57" i="27"/>
  <c r="J59" i="27"/>
  <c r="V65" i="27"/>
  <c r="J67" i="27"/>
  <c r="V69" i="27"/>
  <c r="J71" i="27"/>
  <c r="V76" i="27"/>
  <c r="D27" i="29"/>
  <c r="X20" i="29"/>
  <c r="N52" i="30"/>
  <c r="F60" i="30"/>
  <c r="F108" i="30"/>
  <c r="F115" i="30"/>
  <c r="X16" i="31"/>
  <c r="V24" i="33"/>
  <c r="L71" i="33"/>
  <c r="N71" i="33" s="1"/>
  <c r="D70" i="33"/>
  <c r="L70" i="33" s="1"/>
  <c r="N70" i="33" s="1"/>
  <c r="L16" i="34"/>
  <c r="X22" i="34"/>
  <c r="L12" i="19"/>
  <c r="F15" i="19"/>
  <c r="V15" i="19"/>
  <c r="D18" i="19"/>
  <c r="T18" i="19"/>
  <c r="X18" i="19" s="1"/>
  <c r="F25" i="19"/>
  <c r="V25" i="19"/>
  <c r="F29" i="19"/>
  <c r="V29" i="19"/>
  <c r="F33" i="19"/>
  <c r="V33" i="19"/>
  <c r="J16" i="20"/>
  <c r="V30" i="21"/>
  <c r="J34" i="21"/>
  <c r="J38" i="21"/>
  <c r="V42" i="21"/>
  <c r="J46" i="21"/>
  <c r="V50" i="21"/>
  <c r="J54" i="21"/>
  <c r="V58" i="21"/>
  <c r="J60" i="21"/>
  <c r="J66" i="21"/>
  <c r="V70" i="21"/>
  <c r="V74" i="21"/>
  <c r="J78" i="21"/>
  <c r="V86" i="21"/>
  <c r="V92" i="21"/>
  <c r="N12" i="22"/>
  <c r="L12" i="23"/>
  <c r="F15" i="23"/>
  <c r="V15" i="23"/>
  <c r="D18" i="23"/>
  <c r="T18" i="23"/>
  <c r="F25" i="23"/>
  <c r="V25" i="23"/>
  <c r="F29" i="23"/>
  <c r="V29" i="23"/>
  <c r="F33" i="23"/>
  <c r="V33" i="23"/>
  <c r="V21" i="24"/>
  <c r="J25" i="24"/>
  <c r="J31" i="24"/>
  <c r="J33" i="24"/>
  <c r="V37" i="24"/>
  <c r="V41" i="24"/>
  <c r="J45" i="24"/>
  <c r="V49" i="24"/>
  <c r="V53" i="24"/>
  <c r="J57" i="24"/>
  <c r="V61" i="24"/>
  <c r="J63" i="24"/>
  <c r="V73" i="24"/>
  <c r="L12" i="25"/>
  <c r="F15" i="25"/>
  <c r="V15" i="25"/>
  <c r="D18" i="25"/>
  <c r="T18" i="25"/>
  <c r="F25" i="25"/>
  <c r="V25" i="25"/>
  <c r="F29" i="25"/>
  <c r="V29" i="25"/>
  <c r="F33" i="25"/>
  <c r="V33" i="25"/>
  <c r="J16" i="26"/>
  <c r="J82" i="27"/>
  <c r="J75" i="27"/>
  <c r="J81" i="27"/>
  <c r="V22" i="27"/>
  <c r="J26" i="27"/>
  <c r="J32" i="27"/>
  <c r="J34" i="27"/>
  <c r="V38" i="27"/>
  <c r="J42" i="27"/>
  <c r="J46" i="27"/>
  <c r="V50" i="27"/>
  <c r="J54" i="27"/>
  <c r="V58" i="27"/>
  <c r="J62" i="27"/>
  <c r="V66" i="27"/>
  <c r="V70" i="27"/>
  <c r="V84" i="27"/>
  <c r="V86" i="27"/>
  <c r="F20" i="28"/>
  <c r="Z22" i="28"/>
  <c r="X22" i="28"/>
  <c r="F24" i="30"/>
  <c r="Z42" i="30"/>
  <c r="F79" i="30"/>
  <c r="Z90" i="30"/>
  <c r="V21" i="32"/>
  <c r="V18" i="32"/>
  <c r="V36" i="32"/>
  <c r="V33" i="32"/>
  <c r="V29" i="32"/>
  <c r="V25" i="32"/>
  <c r="T18" i="32"/>
  <c r="V15" i="32"/>
  <c r="V22" i="32"/>
  <c r="V20" i="32"/>
  <c r="V16" i="32"/>
  <c r="Z12" i="32"/>
  <c r="V34" i="32"/>
  <c r="V31" i="32"/>
  <c r="V27" i="32"/>
  <c r="X12" i="32"/>
  <c r="V48" i="33"/>
  <c r="L67" i="33"/>
  <c r="N67" i="33" s="1"/>
  <c r="V68" i="33"/>
  <c r="X79" i="36"/>
  <c r="R21" i="30"/>
  <c r="R29" i="30"/>
  <c r="R37" i="30"/>
  <c r="J42" i="30"/>
  <c r="V44" i="30"/>
  <c r="R45" i="30"/>
  <c r="J48" i="30"/>
  <c r="V56" i="30"/>
  <c r="R57" i="30"/>
  <c r="J60" i="30"/>
  <c r="J64" i="30"/>
  <c r="V68" i="30"/>
  <c r="J72" i="30"/>
  <c r="V76" i="30"/>
  <c r="R77" i="30"/>
  <c r="V80" i="30"/>
  <c r="J84" i="30"/>
  <c r="V88" i="30"/>
  <c r="R89" i="30"/>
  <c r="J90" i="30"/>
  <c r="V92" i="30"/>
  <c r="R93" i="30"/>
  <c r="J94" i="30"/>
  <c r="V96" i="30"/>
  <c r="V104" i="30"/>
  <c r="J108" i="30"/>
  <c r="R110" i="30"/>
  <c r="J115" i="30"/>
  <c r="V116" i="30"/>
  <c r="J120" i="30"/>
  <c r="R22" i="31"/>
  <c r="J21" i="32"/>
  <c r="F27" i="32"/>
  <c r="F31" i="32"/>
  <c r="F34" i="32"/>
  <c r="J19" i="33"/>
  <c r="J33" i="33"/>
  <c r="J37" i="33"/>
  <c r="J45" i="33"/>
  <c r="J53" i="33"/>
  <c r="J67" i="33"/>
  <c r="J16" i="34"/>
  <c r="R18" i="34"/>
  <c r="J20" i="34"/>
  <c r="R25" i="35"/>
  <c r="J27" i="35"/>
  <c r="R29" i="35"/>
  <c r="J31" i="35"/>
  <c r="R33" i="35"/>
  <c r="J34" i="35"/>
  <c r="R36" i="35"/>
  <c r="J27" i="36"/>
  <c r="J29" i="36"/>
  <c r="V33" i="36"/>
  <c r="J37" i="36"/>
  <c r="J41" i="36"/>
  <c r="V45" i="36"/>
  <c r="J49" i="36"/>
  <c r="V53" i="36"/>
  <c r="J57" i="36"/>
  <c r="V62" i="36"/>
  <c r="J64" i="36"/>
  <c r="V70" i="36"/>
  <c r="J72" i="36"/>
  <c r="J77" i="36"/>
  <c r="J78" i="36"/>
  <c r="V79" i="36"/>
  <c r="V80" i="36"/>
  <c r="V82" i="36"/>
  <c r="R27" i="37"/>
  <c r="N66" i="39"/>
  <c r="Z76" i="39"/>
  <c r="N98" i="39"/>
  <c r="N95" i="42"/>
  <c r="L15" i="44"/>
  <c r="D18" i="44"/>
  <c r="J99" i="45"/>
  <c r="J95" i="45"/>
  <c r="J81" i="45"/>
  <c r="J65" i="45"/>
  <c r="J57" i="45"/>
  <c r="J49" i="45"/>
  <c r="J45" i="45"/>
  <c r="J33" i="45"/>
  <c r="J93" i="45"/>
  <c r="J86" i="45"/>
  <c r="J80" i="45"/>
  <c r="J76" i="45"/>
  <c r="J62" i="45"/>
  <c r="J54" i="45"/>
  <c r="J44" i="45"/>
  <c r="J32" i="45"/>
  <c r="J26" i="45"/>
  <c r="J18" i="45"/>
  <c r="J92" i="45"/>
  <c r="J89" i="45"/>
  <c r="J79" i="45"/>
  <c r="J75" i="45"/>
  <c r="J71" i="45"/>
  <c r="J67" i="45"/>
  <c r="J59" i="45"/>
  <c r="J51" i="45"/>
  <c r="J43" i="45"/>
  <c r="J37" i="45"/>
  <c r="J31" i="45"/>
  <c r="J23" i="45"/>
  <c r="J78" i="45"/>
  <c r="J74" i="45"/>
  <c r="J70" i="45"/>
  <c r="J64" i="45"/>
  <c r="J56" i="45"/>
  <c r="J48" i="45"/>
  <c r="J42" i="45"/>
  <c r="J30" i="45"/>
  <c r="H23" i="45"/>
  <c r="J91" i="45"/>
  <c r="J85" i="45"/>
  <c r="J73" i="45"/>
  <c r="J69" i="45"/>
  <c r="J61" i="45"/>
  <c r="J53" i="45"/>
  <c r="J41" i="45"/>
  <c r="J29" i="45"/>
  <c r="J21" i="45"/>
  <c r="J88" i="45"/>
  <c r="J84" i="45"/>
  <c r="J66" i="45"/>
  <c r="J58" i="45"/>
  <c r="J50" i="45"/>
  <c r="J40" i="45"/>
  <c r="J36" i="45"/>
  <c r="J28" i="45"/>
  <c r="J20" i="45"/>
  <c r="J87" i="45"/>
  <c r="J83" i="45"/>
  <c r="J77" i="45"/>
  <c r="J63" i="45"/>
  <c r="J55" i="45"/>
  <c r="J47" i="45"/>
  <c r="J39" i="45"/>
  <c r="J35" i="45"/>
  <c r="J27" i="45"/>
  <c r="J25" i="45"/>
  <c r="J19" i="45"/>
  <c r="N25" i="45"/>
  <c r="J90" i="45"/>
  <c r="J16" i="28"/>
  <c r="R18" i="28"/>
  <c r="J20" i="28"/>
  <c r="J27" i="29"/>
  <c r="J31" i="29"/>
  <c r="J34" i="29"/>
  <c r="V21" i="30"/>
  <c r="R22" i="30"/>
  <c r="J25" i="30"/>
  <c r="V29" i="30"/>
  <c r="R30" i="30"/>
  <c r="J33" i="30"/>
  <c r="V37" i="30"/>
  <c r="V41" i="30"/>
  <c r="V45" i="30"/>
  <c r="R46" i="30"/>
  <c r="J49" i="30"/>
  <c r="J53" i="30"/>
  <c r="V57" i="30"/>
  <c r="R58" i="30"/>
  <c r="J61" i="30"/>
  <c r="R63" i="30"/>
  <c r="V65" i="30"/>
  <c r="R66" i="30"/>
  <c r="J67" i="30"/>
  <c r="R71" i="30"/>
  <c r="V73" i="30"/>
  <c r="R74" i="30"/>
  <c r="V77" i="30"/>
  <c r="R78" i="30"/>
  <c r="J79" i="30"/>
  <c r="R83" i="30"/>
  <c r="V85" i="30"/>
  <c r="R86" i="30"/>
  <c r="J87" i="30"/>
  <c r="V89" i="30"/>
  <c r="V93" i="30"/>
  <c r="J101" i="30"/>
  <c r="R107" i="30"/>
  <c r="J109" i="30"/>
  <c r="J113" i="30"/>
  <c r="R114" i="30"/>
  <c r="R15" i="31"/>
  <c r="P18" i="31"/>
  <c r="R25" i="31"/>
  <c r="J27" i="31"/>
  <c r="R29" i="31"/>
  <c r="J31" i="31"/>
  <c r="R33" i="31"/>
  <c r="J34" i="31"/>
  <c r="R36" i="31"/>
  <c r="F16" i="32"/>
  <c r="F20" i="32"/>
  <c r="R22" i="32"/>
  <c r="J24" i="32"/>
  <c r="J24" i="33"/>
  <c r="J26" i="33"/>
  <c r="J34" i="33"/>
  <c r="J38" i="33"/>
  <c r="J48" i="33"/>
  <c r="J54" i="33"/>
  <c r="J60" i="33"/>
  <c r="J71" i="33"/>
  <c r="V15" i="34"/>
  <c r="T18" i="34"/>
  <c r="R21" i="34"/>
  <c r="V25" i="34"/>
  <c r="V29" i="34"/>
  <c r="V33" i="34"/>
  <c r="V36" i="34"/>
  <c r="J16" i="35"/>
  <c r="J20" i="35"/>
  <c r="F22" i="35"/>
  <c r="V22" i="35"/>
  <c r="J112" i="36"/>
  <c r="J99" i="36"/>
  <c r="J95" i="36"/>
  <c r="J85" i="36"/>
  <c r="J73" i="36"/>
  <c r="J65" i="36"/>
  <c r="J109" i="36"/>
  <c r="J105" i="36"/>
  <c r="J93" i="36"/>
  <c r="J87" i="36"/>
  <c r="J116" i="36"/>
  <c r="J111" i="36"/>
  <c r="J104" i="36"/>
  <c r="J98" i="36"/>
  <c r="J92" i="36"/>
  <c r="J84" i="36"/>
  <c r="J107" i="36"/>
  <c r="J101" i="36"/>
  <c r="J114" i="36"/>
  <c r="J90" i="36"/>
  <c r="J86" i="36"/>
  <c r="J22" i="36"/>
  <c r="T25" i="36"/>
  <c r="J30" i="36"/>
  <c r="V34" i="36"/>
  <c r="J38" i="36"/>
  <c r="J42" i="36"/>
  <c r="V46" i="36"/>
  <c r="V50" i="36"/>
  <c r="J52" i="36"/>
  <c r="J58" i="36"/>
  <c r="V81" i="36"/>
  <c r="J88" i="36"/>
  <c r="Z101" i="36"/>
  <c r="Z20" i="39"/>
  <c r="V20" i="39"/>
  <c r="H112" i="39"/>
  <c r="Z53" i="42"/>
  <c r="V53" i="42"/>
  <c r="Z93" i="42"/>
  <c r="N13" i="43"/>
  <c r="L13" i="43"/>
  <c r="J68" i="45"/>
  <c r="J16" i="29"/>
  <c r="J20" i="29"/>
  <c r="L34" i="29"/>
  <c r="R23" i="30"/>
  <c r="J26" i="30"/>
  <c r="V30" i="30"/>
  <c r="R31" i="30"/>
  <c r="J34" i="30"/>
  <c r="P39" i="30"/>
  <c r="X41" i="30"/>
  <c r="Z41" i="30" s="1"/>
  <c r="V46" i="30"/>
  <c r="R47" i="30"/>
  <c r="J50" i="30"/>
  <c r="R52" i="30"/>
  <c r="J54" i="30"/>
  <c r="V58" i="30"/>
  <c r="R59" i="30"/>
  <c r="J62" i="30"/>
  <c r="X65" i="30"/>
  <c r="Z65" i="30" s="1"/>
  <c r="V66" i="30"/>
  <c r="L67" i="30"/>
  <c r="N67" i="30" s="1"/>
  <c r="J70" i="30"/>
  <c r="X73" i="30"/>
  <c r="Z73" i="30" s="1"/>
  <c r="V74" i="30"/>
  <c r="R75" i="30"/>
  <c r="J76" i="30"/>
  <c r="V78" i="30"/>
  <c r="L79" i="30"/>
  <c r="N79" i="30" s="1"/>
  <c r="J82" i="30"/>
  <c r="X85" i="30"/>
  <c r="Z85" i="30" s="1"/>
  <c r="V86" i="30"/>
  <c r="L87" i="30"/>
  <c r="N87" i="30" s="1"/>
  <c r="J98" i="30"/>
  <c r="R100" i="30"/>
  <c r="J102" i="30"/>
  <c r="J106" i="30"/>
  <c r="V110" i="30"/>
  <c r="R111" i="30"/>
  <c r="V114" i="30"/>
  <c r="J16" i="31"/>
  <c r="R18" i="31"/>
  <c r="J20" i="31"/>
  <c r="F22" i="31"/>
  <c r="V22" i="31"/>
  <c r="P18" i="32"/>
  <c r="R25" i="32"/>
  <c r="J27" i="32"/>
  <c r="R29" i="32"/>
  <c r="J31" i="32"/>
  <c r="R33" i="32"/>
  <c r="J34" i="32"/>
  <c r="R36" i="32"/>
  <c r="D12" i="33"/>
  <c r="J27" i="33"/>
  <c r="J39" i="33"/>
  <c r="J51" i="33"/>
  <c r="J57" i="33"/>
  <c r="J63" i="33"/>
  <c r="N12" i="34"/>
  <c r="V18" i="34"/>
  <c r="J22" i="34"/>
  <c r="R24" i="34"/>
  <c r="L12" i="35"/>
  <c r="F15" i="35"/>
  <c r="V15" i="35"/>
  <c r="D18" i="35"/>
  <c r="T18" i="35"/>
  <c r="R21" i="35"/>
  <c r="F25" i="35"/>
  <c r="V25" i="35"/>
  <c r="F29" i="35"/>
  <c r="V29" i="35"/>
  <c r="F33" i="35"/>
  <c r="V33" i="35"/>
  <c r="F36" i="35"/>
  <c r="V36" i="35"/>
  <c r="J23" i="36"/>
  <c r="V25" i="36"/>
  <c r="J31" i="36"/>
  <c r="V35" i="36"/>
  <c r="V39" i="36"/>
  <c r="J43" i="36"/>
  <c r="V47" i="36"/>
  <c r="V51" i="36"/>
  <c r="J55" i="36"/>
  <c r="V59" i="36"/>
  <c r="J61" i="36"/>
  <c r="J69" i="36"/>
  <c r="N79" i="36"/>
  <c r="N87" i="36"/>
  <c r="V93" i="36"/>
  <c r="V101" i="36"/>
  <c r="L103" i="36"/>
  <c r="J106" i="36"/>
  <c r="V110" i="36"/>
  <c r="V111" i="36"/>
  <c r="J20" i="37"/>
  <c r="J16" i="37"/>
  <c r="J34" i="37"/>
  <c r="J31" i="37"/>
  <c r="J27" i="37"/>
  <c r="J24" i="37"/>
  <c r="J21" i="37"/>
  <c r="J18" i="37"/>
  <c r="J22" i="37"/>
  <c r="J25" i="37"/>
  <c r="L29" i="37"/>
  <c r="N15" i="38"/>
  <c r="L15" i="38"/>
  <c r="H18" i="38"/>
  <c r="L18" i="38" s="1"/>
  <c r="L22" i="38"/>
  <c r="L38" i="39"/>
  <c r="N38" i="39" s="1"/>
  <c r="L58" i="39"/>
  <c r="Z66" i="39"/>
  <c r="Z70" i="39"/>
  <c r="Z98" i="39"/>
  <c r="X24" i="40"/>
  <c r="V33" i="29"/>
  <c r="V36" i="29"/>
  <c r="R24" i="30"/>
  <c r="J27" i="30"/>
  <c r="R32" i="30"/>
  <c r="J35" i="30"/>
  <c r="R39" i="30"/>
  <c r="J41" i="30"/>
  <c r="J43" i="30"/>
  <c r="V47" i="30"/>
  <c r="R48" i="30"/>
  <c r="J51" i="30"/>
  <c r="J55" i="30"/>
  <c r="V59" i="30"/>
  <c r="R60" i="30"/>
  <c r="V63" i="30"/>
  <c r="R64" i="30"/>
  <c r="J65" i="30"/>
  <c r="R69" i="30"/>
  <c r="V71" i="30"/>
  <c r="R72" i="30"/>
  <c r="J73" i="30"/>
  <c r="V75" i="30"/>
  <c r="R81" i="30"/>
  <c r="V83" i="30"/>
  <c r="R84" i="30"/>
  <c r="J85" i="30"/>
  <c r="J91" i="30"/>
  <c r="J95" i="30"/>
  <c r="R97" i="30"/>
  <c r="J99" i="30"/>
  <c r="J103" i="30"/>
  <c r="R105" i="30"/>
  <c r="V107" i="30"/>
  <c r="R108" i="30"/>
  <c r="V111" i="30"/>
  <c r="J116" i="30"/>
  <c r="R120" i="30"/>
  <c r="R21" i="31"/>
  <c r="J16" i="32"/>
  <c r="J20" i="32"/>
  <c r="J20" i="33"/>
  <c r="J28" i="33"/>
  <c r="J40" i="33"/>
  <c r="J46" i="33"/>
  <c r="J64" i="33"/>
  <c r="J68" i="33"/>
  <c r="J25" i="34"/>
  <c r="R27" i="34"/>
  <c r="J29" i="34"/>
  <c r="R31" i="34"/>
  <c r="J33" i="34"/>
  <c r="R34" i="34"/>
  <c r="J36" i="34"/>
  <c r="V18" i="35"/>
  <c r="V20" i="36"/>
  <c r="V28" i="36"/>
  <c r="J32" i="36"/>
  <c r="V36" i="36"/>
  <c r="V40" i="36"/>
  <c r="J44" i="36"/>
  <c r="V48" i="36"/>
  <c r="J50" i="36"/>
  <c r="V56" i="36"/>
  <c r="V60" i="36"/>
  <c r="V64" i="36"/>
  <c r="J66" i="36"/>
  <c r="V67" i="36"/>
  <c r="V68" i="36"/>
  <c r="V72" i="36"/>
  <c r="J74" i="36"/>
  <c r="V75" i="36"/>
  <c r="V76" i="36"/>
  <c r="J79" i="36"/>
  <c r="J91" i="36"/>
  <c r="J96" i="36"/>
  <c r="J97" i="36"/>
  <c r="V99" i="36"/>
  <c r="V105" i="36"/>
  <c r="D27" i="38"/>
  <c r="J38" i="39"/>
  <c r="N58" i="39"/>
  <c r="J58" i="39"/>
  <c r="N100" i="39"/>
  <c r="L33" i="41"/>
  <c r="Z90" i="42"/>
  <c r="X24" i="43"/>
  <c r="P27" i="43"/>
  <c r="D12" i="45"/>
  <c r="L13" i="45"/>
  <c r="J82" i="45"/>
  <c r="J15" i="28"/>
  <c r="H18" i="28"/>
  <c r="J25" i="28"/>
  <c r="R27" i="28"/>
  <c r="J29" i="28"/>
  <c r="R31" i="28"/>
  <c r="J33" i="28"/>
  <c r="J36" i="28"/>
  <c r="N12" i="29"/>
  <c r="F18" i="29"/>
  <c r="V18" i="29"/>
  <c r="J22" i="29"/>
  <c r="N12" i="30"/>
  <c r="R18" i="30"/>
  <c r="J20" i="30"/>
  <c r="V24" i="30"/>
  <c r="R25" i="30"/>
  <c r="J28" i="30"/>
  <c r="V32" i="30"/>
  <c r="R33" i="30"/>
  <c r="J36" i="30"/>
  <c r="T39" i="30"/>
  <c r="R42" i="30"/>
  <c r="J44" i="30"/>
  <c r="V48" i="30"/>
  <c r="R49" i="30"/>
  <c r="V52" i="30"/>
  <c r="R53" i="30"/>
  <c r="J56" i="30"/>
  <c r="V60" i="30"/>
  <c r="R61" i="30"/>
  <c r="V64" i="30"/>
  <c r="J68" i="30"/>
  <c r="V72" i="30"/>
  <c r="J80" i="30"/>
  <c r="V84" i="30"/>
  <c r="J88" i="30"/>
  <c r="R90" i="30"/>
  <c r="J92" i="30"/>
  <c r="R94" i="30"/>
  <c r="J96" i="30"/>
  <c r="V100" i="30"/>
  <c r="R101" i="30"/>
  <c r="J104" i="30"/>
  <c r="V108" i="30"/>
  <c r="R109" i="30"/>
  <c r="J110" i="30"/>
  <c r="R115" i="30"/>
  <c r="V120" i="30"/>
  <c r="N12" i="31"/>
  <c r="F18" i="31"/>
  <c r="V18" i="31"/>
  <c r="J22" i="31"/>
  <c r="R24" i="31"/>
  <c r="L12" i="32"/>
  <c r="F15" i="32"/>
  <c r="D18" i="32"/>
  <c r="R21" i="32"/>
  <c r="F25" i="32"/>
  <c r="F29" i="32"/>
  <c r="F33" i="32"/>
  <c r="F36" i="32"/>
  <c r="H22" i="33"/>
  <c r="J29" i="33"/>
  <c r="J35" i="33"/>
  <c r="J41" i="33"/>
  <c r="J49" i="33"/>
  <c r="J55" i="33"/>
  <c r="J61" i="33"/>
  <c r="J65" i="33"/>
  <c r="R16" i="34"/>
  <c r="J18" i="34"/>
  <c r="R20" i="34"/>
  <c r="V24" i="34"/>
  <c r="J15" i="35"/>
  <c r="H18" i="35"/>
  <c r="F21" i="35"/>
  <c r="V21" i="35"/>
  <c r="J25" i="35"/>
  <c r="R27" i="35"/>
  <c r="J29" i="35"/>
  <c r="R31" i="35"/>
  <c r="J33" i="35"/>
  <c r="R34" i="35"/>
  <c r="J36" i="35"/>
  <c r="P12" i="36"/>
  <c r="V21" i="36"/>
  <c r="J25" i="36"/>
  <c r="V29" i="36"/>
  <c r="J33" i="36"/>
  <c r="V37" i="36"/>
  <c r="J39" i="36"/>
  <c r="V41" i="36"/>
  <c r="J45" i="36"/>
  <c r="V49" i="36"/>
  <c r="J53" i="36"/>
  <c r="V57" i="36"/>
  <c r="J59" i="36"/>
  <c r="J62" i="36"/>
  <c r="J70" i="36"/>
  <c r="V77" i="36"/>
  <c r="V78" i="36"/>
  <c r="J80" i="36"/>
  <c r="J83" i="36"/>
  <c r="V86" i="36"/>
  <c r="J102" i="36"/>
  <c r="J103" i="36"/>
  <c r="V104" i="36"/>
  <c r="R21" i="37"/>
  <c r="R18" i="37"/>
  <c r="R36" i="37"/>
  <c r="R33" i="37"/>
  <c r="R29" i="37"/>
  <c r="R25" i="37"/>
  <c r="P18" i="37"/>
  <c r="R15" i="37"/>
  <c r="R22" i="37"/>
  <c r="X12" i="37"/>
  <c r="R20" i="37"/>
  <c r="R16" i="37"/>
  <c r="J29" i="37"/>
  <c r="L33" i="37"/>
  <c r="J36" i="37"/>
  <c r="L13" i="38"/>
  <c r="L29" i="41"/>
  <c r="X100" i="42"/>
  <c r="P98" i="42"/>
  <c r="X98" i="42" s="1"/>
  <c r="Z98" i="42" s="1"/>
  <c r="J34" i="44"/>
  <c r="J31" i="44"/>
  <c r="J27" i="44"/>
  <c r="J24" i="44"/>
  <c r="J21" i="44"/>
  <c r="J18" i="44"/>
  <c r="J36" i="44"/>
  <c r="J33" i="44"/>
  <c r="J29" i="44"/>
  <c r="J25" i="44"/>
  <c r="H18" i="44"/>
  <c r="J15" i="44"/>
  <c r="J22" i="44"/>
  <c r="N12" i="44"/>
  <c r="L12" i="44"/>
  <c r="J16" i="44"/>
  <c r="J52" i="45"/>
  <c r="N77" i="45"/>
  <c r="R26" i="30"/>
  <c r="R34" i="30"/>
  <c r="J45" i="30"/>
  <c r="R50" i="30"/>
  <c r="V53" i="30"/>
  <c r="R54" i="30"/>
  <c r="J57" i="30"/>
  <c r="V61" i="30"/>
  <c r="R62" i="30"/>
  <c r="J63" i="30"/>
  <c r="R67" i="30"/>
  <c r="V69" i="30"/>
  <c r="R70" i="30"/>
  <c r="J71" i="30"/>
  <c r="J77" i="30"/>
  <c r="R79" i="30"/>
  <c r="V81" i="30"/>
  <c r="R82" i="30"/>
  <c r="J83" i="30"/>
  <c r="R87" i="30"/>
  <c r="J89" i="30"/>
  <c r="J93" i="30"/>
  <c r="V97" i="30"/>
  <c r="R98" i="30"/>
  <c r="V101" i="30"/>
  <c r="R102" i="30"/>
  <c r="V105" i="30"/>
  <c r="R106" i="30"/>
  <c r="J107" i="30"/>
  <c r="V109" i="30"/>
  <c r="R113" i="30"/>
  <c r="J114" i="30"/>
  <c r="V115" i="30"/>
  <c r="R27" i="31"/>
  <c r="R31" i="31"/>
  <c r="R34" i="31"/>
  <c r="J42" i="33"/>
  <c r="J52" i="33"/>
  <c r="J58" i="33"/>
  <c r="J66" i="33"/>
  <c r="J70" i="33"/>
  <c r="V24" i="35"/>
  <c r="V107" i="36"/>
  <c r="V103" i="36"/>
  <c r="V91" i="36"/>
  <c r="V83" i="36"/>
  <c r="V71" i="36"/>
  <c r="V63" i="36"/>
  <c r="V97" i="36"/>
  <c r="V89" i="36"/>
  <c r="V85" i="36"/>
  <c r="V112" i="36"/>
  <c r="V100" i="36"/>
  <c r="V96" i="36"/>
  <c r="V88" i="36"/>
  <c r="V109" i="36"/>
  <c r="V102" i="36"/>
  <c r="V98" i="36"/>
  <c r="V94" i="36"/>
  <c r="V22" i="36"/>
  <c r="J28" i="36"/>
  <c r="V30" i="36"/>
  <c r="J34" i="36"/>
  <c r="V38" i="36"/>
  <c r="L39" i="36"/>
  <c r="N39" i="36" s="1"/>
  <c r="V42" i="36"/>
  <c r="J46" i="36"/>
  <c r="V54" i="36"/>
  <c r="J56" i="36"/>
  <c r="V58" i="36"/>
  <c r="L59" i="36"/>
  <c r="N59" i="36" s="1"/>
  <c r="N67" i="36"/>
  <c r="N75" i="36"/>
  <c r="J81" i="36"/>
  <c r="J82" i="36"/>
  <c r="V92" i="36"/>
  <c r="Z98" i="36"/>
  <c r="R24" i="37"/>
  <c r="L20" i="39"/>
  <c r="N20" i="39" s="1"/>
  <c r="F20" i="39"/>
  <c r="N28" i="39"/>
  <c r="Z62" i="39"/>
  <c r="N64" i="39"/>
  <c r="R24" i="40"/>
  <c r="R21" i="40"/>
  <c r="R18" i="40"/>
  <c r="R36" i="40"/>
  <c r="R33" i="40"/>
  <c r="R29" i="40"/>
  <c r="R25" i="40"/>
  <c r="P18" i="40"/>
  <c r="R15" i="40"/>
  <c r="R22" i="40"/>
  <c r="X12" i="40"/>
  <c r="R20" i="40"/>
  <c r="R16" i="40"/>
  <c r="L99" i="42"/>
  <c r="N99" i="42" s="1"/>
  <c r="D98" i="42"/>
  <c r="L98" i="42" s="1"/>
  <c r="N98" i="42" s="1"/>
  <c r="X29" i="44"/>
  <c r="J34" i="45"/>
  <c r="J60" i="45"/>
  <c r="J72" i="45"/>
  <c r="Z22" i="46"/>
  <c r="X22" i="46"/>
  <c r="Z18" i="29"/>
  <c r="V18" i="30"/>
  <c r="R19" i="30"/>
  <c r="J22" i="30"/>
  <c r="V26" i="30"/>
  <c r="R27" i="30"/>
  <c r="J30" i="30"/>
  <c r="V34" i="30"/>
  <c r="R35" i="30"/>
  <c r="H39" i="30"/>
  <c r="V42" i="30"/>
  <c r="R43" i="30"/>
  <c r="J46" i="30"/>
  <c r="V50" i="30"/>
  <c r="R51" i="30"/>
  <c r="J52" i="30"/>
  <c r="V54" i="30"/>
  <c r="R55" i="30"/>
  <c r="J58" i="30"/>
  <c r="V62" i="30"/>
  <c r="J66" i="30"/>
  <c r="V70" i="30"/>
  <c r="J74" i="30"/>
  <c r="R76" i="30"/>
  <c r="J78" i="30"/>
  <c r="V82" i="30"/>
  <c r="J86" i="30"/>
  <c r="V90" i="30"/>
  <c r="R91" i="30"/>
  <c r="V94" i="30"/>
  <c r="R95" i="30"/>
  <c r="V98" i="30"/>
  <c r="R99" i="30"/>
  <c r="J100" i="30"/>
  <c r="V102" i="30"/>
  <c r="R103" i="30"/>
  <c r="D113" i="30"/>
  <c r="L113" i="30" s="1"/>
  <c r="R16" i="31"/>
  <c r="Z18" i="31"/>
  <c r="J15" i="32"/>
  <c r="H18" i="32"/>
  <c r="J25" i="32"/>
  <c r="R27" i="32"/>
  <c r="J29" i="32"/>
  <c r="R31" i="32"/>
  <c r="J33" i="32"/>
  <c r="P12" i="33"/>
  <c r="J25" i="33"/>
  <c r="J31" i="33"/>
  <c r="J43" i="33"/>
  <c r="J47" i="33"/>
  <c r="J59" i="33"/>
  <c r="Z12" i="34"/>
  <c r="V16" i="34"/>
  <c r="F27" i="35"/>
  <c r="V27" i="35"/>
  <c r="F31" i="35"/>
  <c r="V31" i="35"/>
  <c r="V23" i="36"/>
  <c r="V27" i="36"/>
  <c r="V31" i="36"/>
  <c r="J35" i="36"/>
  <c r="V43" i="36"/>
  <c r="J47" i="36"/>
  <c r="J51" i="36"/>
  <c r="V55" i="36"/>
  <c r="J63" i="36"/>
  <c r="Z65" i="36"/>
  <c r="J67" i="36"/>
  <c r="J71" i="36"/>
  <c r="Z73" i="36"/>
  <c r="J75" i="36"/>
  <c r="V84" i="36"/>
  <c r="J94" i="36"/>
  <c r="X98" i="36"/>
  <c r="V106" i="36"/>
  <c r="N109" i="36"/>
  <c r="J110" i="36"/>
  <c r="J118" i="36"/>
  <c r="L15" i="37"/>
  <c r="Z24" i="37"/>
  <c r="X24" i="37"/>
  <c r="J33" i="37"/>
  <c r="X24" i="38"/>
  <c r="X28" i="39"/>
  <c r="Z28" i="39" s="1"/>
  <c r="N60" i="39"/>
  <c r="X64" i="39"/>
  <c r="Z64" i="39" s="1"/>
  <c r="Z84" i="39"/>
  <c r="R27" i="40"/>
  <c r="R34" i="40"/>
  <c r="L25" i="41"/>
  <c r="X14" i="42"/>
  <c r="P12" i="42"/>
  <c r="Z15" i="44"/>
  <c r="T18" i="44"/>
  <c r="X33" i="44"/>
  <c r="J46" i="45"/>
  <c r="Z48" i="45"/>
  <c r="N50" i="45"/>
  <c r="F28" i="39"/>
  <c r="V28" i="39"/>
  <c r="F33" i="39"/>
  <c r="V36" i="39"/>
  <c r="V40" i="39"/>
  <c r="F45" i="39"/>
  <c r="V48" i="39"/>
  <c r="V56" i="39"/>
  <c r="F61" i="39"/>
  <c r="F64" i="39"/>
  <c r="V64" i="39"/>
  <c r="J66" i="39"/>
  <c r="F69" i="39"/>
  <c r="J72" i="39"/>
  <c r="F73" i="39"/>
  <c r="F76" i="39"/>
  <c r="V76" i="39"/>
  <c r="J80" i="39"/>
  <c r="F81" i="39"/>
  <c r="F84" i="39"/>
  <c r="V84" i="39"/>
  <c r="J88" i="39"/>
  <c r="F89" i="39"/>
  <c r="V92" i="39"/>
  <c r="V96" i="39"/>
  <c r="J98" i="39"/>
  <c r="F101" i="39"/>
  <c r="J108" i="39"/>
  <c r="V24" i="40"/>
  <c r="J15" i="41"/>
  <c r="H18" i="41"/>
  <c r="J25" i="41"/>
  <c r="R27" i="41"/>
  <c r="J29" i="41"/>
  <c r="R31" i="41"/>
  <c r="J33" i="41"/>
  <c r="R34" i="41"/>
  <c r="J36" i="41"/>
  <c r="J21" i="42"/>
  <c r="J29" i="42"/>
  <c r="J41" i="42"/>
  <c r="J47" i="42"/>
  <c r="V57" i="42"/>
  <c r="J61" i="42"/>
  <c r="V65" i="42"/>
  <c r="J69" i="42"/>
  <c r="J73" i="42"/>
  <c r="V77" i="42"/>
  <c r="J81" i="42"/>
  <c r="V85" i="42"/>
  <c r="J89" i="42"/>
  <c r="V93" i="42"/>
  <c r="J95" i="42"/>
  <c r="V103" i="42"/>
  <c r="V105" i="42"/>
  <c r="V67" i="45"/>
  <c r="V71" i="45"/>
  <c r="V75" i="45"/>
  <c r="V79" i="45"/>
  <c r="V92" i="45"/>
  <c r="Z18" i="47"/>
  <c r="J58" i="48"/>
  <c r="J52" i="48"/>
  <c r="J46" i="48"/>
  <c r="J34" i="48"/>
  <c r="J22" i="48"/>
  <c r="N12" i="48"/>
  <c r="J68" i="48"/>
  <c r="J64" i="48"/>
  <c r="J54" i="48"/>
  <c r="J48" i="48"/>
  <c r="J40" i="48"/>
  <c r="J32" i="48"/>
  <c r="J28" i="48"/>
  <c r="J63" i="48"/>
  <c r="J51" i="48"/>
  <c r="J45" i="48"/>
  <c r="J39" i="48"/>
  <c r="J31" i="48"/>
  <c r="J27" i="48"/>
  <c r="J66" i="48"/>
  <c r="J60" i="48"/>
  <c r="J56" i="48"/>
  <c r="J42" i="48"/>
  <c r="J38" i="48"/>
  <c r="J26" i="48"/>
  <c r="J20" i="48"/>
  <c r="J53" i="48"/>
  <c r="J47" i="48"/>
  <c r="J37" i="48"/>
  <c r="J25" i="48"/>
  <c r="J69" i="48"/>
  <c r="J62" i="48"/>
  <c r="J50" i="48"/>
  <c r="J44" i="48"/>
  <c r="J36" i="48"/>
  <c r="J30" i="48"/>
  <c r="J24" i="48"/>
  <c r="H17" i="48"/>
  <c r="J65" i="48"/>
  <c r="J59" i="48"/>
  <c r="J55" i="48"/>
  <c r="J41" i="48"/>
  <c r="J35" i="48"/>
  <c r="J23" i="48"/>
  <c r="J29" i="48"/>
  <c r="X50" i="48"/>
  <c r="Z50" i="48" s="1"/>
  <c r="N52" i="48"/>
  <c r="L52" i="48"/>
  <c r="X13" i="50"/>
  <c r="Z16" i="50"/>
  <c r="X16" i="50"/>
  <c r="F24" i="37"/>
  <c r="V24" i="37"/>
  <c r="F21" i="38"/>
  <c r="V21" i="38"/>
  <c r="J25" i="38"/>
  <c r="R27" i="38"/>
  <c r="J29" i="38"/>
  <c r="R31" i="38"/>
  <c r="J33" i="38"/>
  <c r="R34" i="38"/>
  <c r="J36" i="38"/>
  <c r="P12" i="39"/>
  <c r="V21" i="39"/>
  <c r="J25" i="39"/>
  <c r="V29" i="39"/>
  <c r="F34" i="39"/>
  <c r="V37" i="39"/>
  <c r="V41" i="39"/>
  <c r="J45" i="39"/>
  <c r="F46" i="39"/>
  <c r="F50" i="39"/>
  <c r="F53" i="39"/>
  <c r="V53" i="39"/>
  <c r="J55" i="39"/>
  <c r="V57" i="39"/>
  <c r="J61" i="39"/>
  <c r="V65" i="39"/>
  <c r="J69" i="39"/>
  <c r="J73" i="39"/>
  <c r="V77" i="39"/>
  <c r="J81" i="39"/>
  <c r="V85" i="39"/>
  <c r="J89" i="39"/>
  <c r="F90" i="39"/>
  <c r="V93" i="39"/>
  <c r="J95" i="39"/>
  <c r="V97" i="39"/>
  <c r="J101" i="39"/>
  <c r="F103" i="39"/>
  <c r="V103" i="39"/>
  <c r="F105" i="39"/>
  <c r="F110" i="39"/>
  <c r="J21" i="40"/>
  <c r="F27" i="40"/>
  <c r="V27" i="40"/>
  <c r="F31" i="40"/>
  <c r="V31" i="40"/>
  <c r="F34" i="40"/>
  <c r="V34" i="40"/>
  <c r="R16" i="41"/>
  <c r="J18" i="41"/>
  <c r="R20" i="41"/>
  <c r="F24" i="41"/>
  <c r="V24" i="41"/>
  <c r="V18" i="42"/>
  <c r="H23" i="42"/>
  <c r="V26" i="42"/>
  <c r="J30" i="42"/>
  <c r="V34" i="42"/>
  <c r="J36" i="42"/>
  <c r="V38" i="42"/>
  <c r="J42" i="42"/>
  <c r="V46" i="42"/>
  <c r="J50" i="42"/>
  <c r="V54" i="42"/>
  <c r="J56" i="42"/>
  <c r="V62" i="42"/>
  <c r="J64" i="42"/>
  <c r="J70" i="42"/>
  <c r="J74" i="42"/>
  <c r="J82" i="42"/>
  <c r="V86" i="42"/>
  <c r="V90" i="42"/>
  <c r="V94" i="42"/>
  <c r="J99" i="42"/>
  <c r="V100" i="42"/>
  <c r="J15" i="43"/>
  <c r="H18" i="43"/>
  <c r="F21" i="43"/>
  <c r="V21" i="43"/>
  <c r="J25" i="43"/>
  <c r="R27" i="43"/>
  <c r="J29" i="43"/>
  <c r="R31" i="43"/>
  <c r="J33" i="43"/>
  <c r="R34" i="43"/>
  <c r="J36" i="43"/>
  <c r="X15" i="44"/>
  <c r="F18" i="44"/>
  <c r="V18" i="44"/>
  <c r="T23" i="45"/>
  <c r="V32" i="45"/>
  <c r="V44" i="45"/>
  <c r="V48" i="45"/>
  <c r="V56" i="45"/>
  <c r="V64" i="45"/>
  <c r="V76" i="45"/>
  <c r="V80" i="45"/>
  <c r="V93" i="45"/>
  <c r="J22" i="47"/>
  <c r="N12" i="47"/>
  <c r="J34" i="47"/>
  <c r="J31" i="47"/>
  <c r="J27" i="47"/>
  <c r="J24" i="47"/>
  <c r="J21" i="47"/>
  <c r="J18" i="47"/>
  <c r="J36" i="47"/>
  <c r="J33" i="47"/>
  <c r="J29" i="47"/>
  <c r="J25" i="47"/>
  <c r="H18" i="47"/>
  <c r="J15" i="47"/>
  <c r="L12" i="48"/>
  <c r="F34" i="48"/>
  <c r="J61" i="48"/>
  <c r="L16" i="51"/>
  <c r="D12" i="51"/>
  <c r="N32" i="51"/>
  <c r="F27" i="37"/>
  <c r="F31" i="37"/>
  <c r="F34" i="37"/>
  <c r="X21" i="38"/>
  <c r="F24" i="38"/>
  <c r="V24" i="38"/>
  <c r="L25" i="38"/>
  <c r="L29" i="38"/>
  <c r="L33" i="38"/>
  <c r="V22" i="39"/>
  <c r="J28" i="39"/>
  <c r="V30" i="39"/>
  <c r="F35" i="39"/>
  <c r="F39" i="39"/>
  <c r="V42" i="39"/>
  <c r="J46" i="39"/>
  <c r="F47" i="39"/>
  <c r="J50" i="39"/>
  <c r="X53" i="39"/>
  <c r="Z53" i="39" s="1"/>
  <c r="V54" i="39"/>
  <c r="L55" i="39"/>
  <c r="N55" i="39" s="1"/>
  <c r="F59" i="39"/>
  <c r="F62" i="39"/>
  <c r="V62" i="39"/>
  <c r="J64" i="39"/>
  <c r="F67" i="39"/>
  <c r="F70" i="39"/>
  <c r="V70" i="39"/>
  <c r="F74" i="39"/>
  <c r="V74" i="39"/>
  <c r="J76" i="39"/>
  <c r="V78" i="39"/>
  <c r="F82" i="39"/>
  <c r="V82" i="39"/>
  <c r="J84" i="39"/>
  <c r="V86" i="39"/>
  <c r="J90" i="39"/>
  <c r="F91" i="39"/>
  <c r="V94" i="39"/>
  <c r="L95" i="39"/>
  <c r="N95" i="39" s="1"/>
  <c r="F99" i="39"/>
  <c r="J105" i="39"/>
  <c r="V106" i="39"/>
  <c r="J110" i="39"/>
  <c r="Z12" i="40"/>
  <c r="F16" i="40"/>
  <c r="V16" i="40"/>
  <c r="F20" i="40"/>
  <c r="V20" i="40"/>
  <c r="L21" i="40"/>
  <c r="J24" i="40"/>
  <c r="X34" i="40"/>
  <c r="X12" i="41"/>
  <c r="J21" i="41"/>
  <c r="X24" i="41"/>
  <c r="F27" i="41"/>
  <c r="V27" i="41"/>
  <c r="F31" i="41"/>
  <c r="V31" i="41"/>
  <c r="F34" i="41"/>
  <c r="V34" i="41"/>
  <c r="X18" i="42"/>
  <c r="Z18" i="42" s="1"/>
  <c r="V19" i="42"/>
  <c r="J23" i="42"/>
  <c r="X26" i="42"/>
  <c r="Z26" i="42" s="1"/>
  <c r="V27" i="42"/>
  <c r="J31" i="42"/>
  <c r="V35" i="42"/>
  <c r="L36" i="42"/>
  <c r="N36" i="42" s="1"/>
  <c r="V39" i="42"/>
  <c r="J43" i="42"/>
  <c r="V51" i="42"/>
  <c r="J53" i="42"/>
  <c r="V55" i="42"/>
  <c r="J59" i="42"/>
  <c r="V63" i="42"/>
  <c r="J67" i="42"/>
  <c r="J71" i="42"/>
  <c r="J75" i="42"/>
  <c r="J79" i="42"/>
  <c r="J83" i="42"/>
  <c r="V87" i="42"/>
  <c r="V91" i="42"/>
  <c r="J93" i="42"/>
  <c r="R16" i="43"/>
  <c r="J18" i="43"/>
  <c r="R20" i="43"/>
  <c r="F24" i="43"/>
  <c r="V24" i="43"/>
  <c r="F21" i="44"/>
  <c r="V21" i="44"/>
  <c r="R27" i="44"/>
  <c r="R31" i="44"/>
  <c r="R34" i="44"/>
  <c r="P12" i="45"/>
  <c r="V23" i="45"/>
  <c r="V33" i="45"/>
  <c r="V37" i="45"/>
  <c r="V45" i="45"/>
  <c r="V49" i="45"/>
  <c r="V57" i="45"/>
  <c r="V65" i="45"/>
  <c r="V81" i="45"/>
  <c r="F21" i="46"/>
  <c r="F20" i="46"/>
  <c r="F16" i="46"/>
  <c r="F34" i="46"/>
  <c r="F31" i="46"/>
  <c r="F27" i="46"/>
  <c r="F24" i="46"/>
  <c r="D18" i="46"/>
  <c r="L22" i="46"/>
  <c r="L12" i="47"/>
  <c r="J15" i="48"/>
  <c r="N19" i="48"/>
  <c r="X30" i="48"/>
  <c r="Z30" i="48" s="1"/>
  <c r="Z52" i="48"/>
  <c r="Z56" i="48"/>
  <c r="Z62" i="48"/>
  <c r="X62" i="48"/>
  <c r="X32" i="51"/>
  <c r="X13" i="37"/>
  <c r="F16" i="37"/>
  <c r="V16" i="37"/>
  <c r="F20" i="37"/>
  <c r="V20" i="37"/>
  <c r="X12" i="38"/>
  <c r="F27" i="38"/>
  <c r="V27" i="38"/>
  <c r="F31" i="38"/>
  <c r="V31" i="38"/>
  <c r="F34" i="38"/>
  <c r="V34" i="38"/>
  <c r="V23" i="39"/>
  <c r="F27" i="39"/>
  <c r="V27" i="39"/>
  <c r="V31" i="39"/>
  <c r="F36" i="39"/>
  <c r="J39" i="39"/>
  <c r="F40" i="39"/>
  <c r="V43" i="39"/>
  <c r="J47" i="39"/>
  <c r="F48" i="39"/>
  <c r="F51" i="39"/>
  <c r="V51" i="39"/>
  <c r="J53" i="39"/>
  <c r="F56" i="39"/>
  <c r="J59" i="39"/>
  <c r="V63" i="39"/>
  <c r="J67" i="39"/>
  <c r="V71" i="39"/>
  <c r="V75" i="39"/>
  <c r="V79" i="39"/>
  <c r="V83" i="39"/>
  <c r="V87" i="39"/>
  <c r="J91" i="39"/>
  <c r="F92" i="39"/>
  <c r="F96" i="39"/>
  <c r="J99" i="39"/>
  <c r="J103" i="39"/>
  <c r="J27" i="40"/>
  <c r="J31" i="40"/>
  <c r="J34" i="40"/>
  <c r="R22" i="41"/>
  <c r="J24" i="41"/>
  <c r="J18" i="42"/>
  <c r="V20" i="42"/>
  <c r="J26" i="42"/>
  <c r="V28" i="42"/>
  <c r="J32" i="42"/>
  <c r="V40" i="42"/>
  <c r="J44" i="42"/>
  <c r="J48" i="42"/>
  <c r="V52" i="42"/>
  <c r="V60" i="42"/>
  <c r="J62" i="42"/>
  <c r="V68" i="42"/>
  <c r="V72" i="42"/>
  <c r="J76" i="42"/>
  <c r="V80" i="42"/>
  <c r="J84" i="42"/>
  <c r="V88" i="42"/>
  <c r="J90" i="42"/>
  <c r="V92" i="42"/>
  <c r="J96" i="42"/>
  <c r="V98" i="42"/>
  <c r="X12" i="43"/>
  <c r="J21" i="43"/>
  <c r="F27" i="43"/>
  <c r="V27" i="43"/>
  <c r="F31" i="43"/>
  <c r="V31" i="43"/>
  <c r="F34" i="43"/>
  <c r="R16" i="44"/>
  <c r="R20" i="44"/>
  <c r="F24" i="44"/>
  <c r="V24" i="44"/>
  <c r="V95" i="45"/>
  <c r="V18" i="45"/>
  <c r="V26" i="45"/>
  <c r="V34" i="45"/>
  <c r="V38" i="45"/>
  <c r="V46" i="45"/>
  <c r="V54" i="45"/>
  <c r="V62" i="45"/>
  <c r="V82" i="45"/>
  <c r="V86" i="45"/>
  <c r="V90" i="45"/>
  <c r="V99" i="45"/>
  <c r="J36" i="46"/>
  <c r="J33" i="46"/>
  <c r="J29" i="46"/>
  <c r="J25" i="46"/>
  <c r="H18" i="46"/>
  <c r="J15" i="46"/>
  <c r="J34" i="46"/>
  <c r="J31" i="46"/>
  <c r="J27" i="46"/>
  <c r="J24" i="46"/>
  <c r="J21" i="46"/>
  <c r="J18" i="46"/>
  <c r="F18" i="46"/>
  <c r="F22" i="46"/>
  <c r="X25" i="46"/>
  <c r="J20" i="47"/>
  <c r="L22" i="47"/>
  <c r="J19" i="48"/>
  <c r="J33" i="48"/>
  <c r="J73" i="48"/>
  <c r="Z12" i="38"/>
  <c r="F16" i="38"/>
  <c r="V16" i="38"/>
  <c r="F20" i="38"/>
  <c r="V20" i="38"/>
  <c r="F21" i="39"/>
  <c r="F29" i="39"/>
  <c r="V32" i="39"/>
  <c r="J36" i="39"/>
  <c r="F37" i="39"/>
  <c r="J40" i="39"/>
  <c r="F41" i="39"/>
  <c r="V44" i="39"/>
  <c r="J48" i="39"/>
  <c r="V52" i="39"/>
  <c r="J56" i="39"/>
  <c r="F57" i="39"/>
  <c r="F60" i="39"/>
  <c r="V60" i="39"/>
  <c r="J62" i="39"/>
  <c r="F65" i="39"/>
  <c r="F68" i="39"/>
  <c r="V68" i="39"/>
  <c r="J70" i="39"/>
  <c r="V72" i="39"/>
  <c r="J74" i="39"/>
  <c r="F77" i="39"/>
  <c r="V80" i="39"/>
  <c r="J82" i="39"/>
  <c r="F85" i="39"/>
  <c r="V88" i="39"/>
  <c r="J92" i="39"/>
  <c r="F93" i="39"/>
  <c r="J96" i="39"/>
  <c r="F97" i="39"/>
  <c r="F100" i="39"/>
  <c r="V100" i="39"/>
  <c r="V104" i="39"/>
  <c r="F106" i="39"/>
  <c r="J112" i="39"/>
  <c r="J16" i="40"/>
  <c r="J20" i="40"/>
  <c r="F22" i="40"/>
  <c r="V22" i="40"/>
  <c r="R15" i="41"/>
  <c r="P18" i="41"/>
  <c r="R25" i="41"/>
  <c r="J27" i="41"/>
  <c r="R29" i="41"/>
  <c r="J31" i="41"/>
  <c r="R33" i="41"/>
  <c r="J34" i="41"/>
  <c r="R36" i="41"/>
  <c r="D12" i="42"/>
  <c r="V21" i="42"/>
  <c r="V25" i="42"/>
  <c r="V29" i="42"/>
  <c r="J33" i="42"/>
  <c r="J37" i="42"/>
  <c r="V41" i="42"/>
  <c r="J45" i="42"/>
  <c r="V49" i="42"/>
  <c r="J51" i="42"/>
  <c r="J57" i="42"/>
  <c r="V61" i="42"/>
  <c r="J65" i="42"/>
  <c r="V69" i="42"/>
  <c r="V73" i="42"/>
  <c r="J77" i="42"/>
  <c r="V81" i="42"/>
  <c r="J85" i="42"/>
  <c r="V89" i="42"/>
  <c r="J100" i="42"/>
  <c r="V101" i="42"/>
  <c r="J105" i="42"/>
  <c r="F16" i="43"/>
  <c r="F20" i="43"/>
  <c r="J24" i="43"/>
  <c r="F27" i="44"/>
  <c r="V27" i="44"/>
  <c r="F31" i="44"/>
  <c r="V31" i="44"/>
  <c r="V27" i="45"/>
  <c r="V35" i="45"/>
  <c r="V39" i="45"/>
  <c r="V47" i="45"/>
  <c r="V55" i="45"/>
  <c r="V63" i="45"/>
  <c r="V83" i="45"/>
  <c r="V87" i="45"/>
  <c r="J57" i="48"/>
  <c r="P18" i="49"/>
  <c r="X15" i="49"/>
  <c r="N34" i="49"/>
  <c r="L34" i="49"/>
  <c r="Z32" i="51"/>
  <c r="F22" i="39"/>
  <c r="F30" i="39"/>
  <c r="V33" i="39"/>
  <c r="F42" i="39"/>
  <c r="V45" i="39"/>
  <c r="F49" i="39"/>
  <c r="V49" i="39"/>
  <c r="F54" i="39"/>
  <c r="V61" i="39"/>
  <c r="V69" i="39"/>
  <c r="V73" i="39"/>
  <c r="J77" i="39"/>
  <c r="F78" i="39"/>
  <c r="V81" i="39"/>
  <c r="J85" i="39"/>
  <c r="F86" i="39"/>
  <c r="V89" i="39"/>
  <c r="J93" i="39"/>
  <c r="F94" i="39"/>
  <c r="J97" i="39"/>
  <c r="V101" i="39"/>
  <c r="J106" i="39"/>
  <c r="V15" i="40"/>
  <c r="T18" i="40"/>
  <c r="V25" i="40"/>
  <c r="V29" i="40"/>
  <c r="V33" i="40"/>
  <c r="V36" i="40"/>
  <c r="J16" i="41"/>
  <c r="R18" i="41"/>
  <c r="J34" i="42"/>
  <c r="J38" i="42"/>
  <c r="V42" i="42"/>
  <c r="J46" i="42"/>
  <c r="V50" i="42"/>
  <c r="J54" i="42"/>
  <c r="V58" i="42"/>
  <c r="J60" i="42"/>
  <c r="V66" i="42"/>
  <c r="J68" i="42"/>
  <c r="V70" i="42"/>
  <c r="J72" i="42"/>
  <c r="V74" i="42"/>
  <c r="V78" i="42"/>
  <c r="J80" i="42"/>
  <c r="V82" i="42"/>
  <c r="J86" i="42"/>
  <c r="J94" i="42"/>
  <c r="J98" i="42"/>
  <c r="V28" i="45"/>
  <c r="V36" i="45"/>
  <c r="V40" i="45"/>
  <c r="V52" i="45"/>
  <c r="V60" i="45"/>
  <c r="V68" i="45"/>
  <c r="V72" i="45"/>
  <c r="V84" i="45"/>
  <c r="V88" i="45"/>
  <c r="P27" i="46"/>
  <c r="F62" i="48"/>
  <c r="F59" i="48"/>
  <c r="F55" i="48"/>
  <c r="F50" i="48"/>
  <c r="F35" i="48"/>
  <c r="F30" i="48"/>
  <c r="F23" i="48"/>
  <c r="D17" i="48"/>
  <c r="F73" i="48"/>
  <c r="F61" i="48"/>
  <c r="F57" i="48"/>
  <c r="F52" i="48"/>
  <c r="F49" i="48"/>
  <c r="F33" i="48"/>
  <c r="F29" i="48"/>
  <c r="F21" i="48"/>
  <c r="F64" i="48"/>
  <c r="F48" i="48"/>
  <c r="F43" i="48"/>
  <c r="F40" i="48"/>
  <c r="F32" i="48"/>
  <c r="F28" i="48"/>
  <c r="F19" i="48"/>
  <c r="F15" i="48"/>
  <c r="F63" i="48"/>
  <c r="F54" i="48"/>
  <c r="F51" i="48"/>
  <c r="F39" i="48"/>
  <c r="F31" i="48"/>
  <c r="F27" i="48"/>
  <c r="F66" i="48"/>
  <c r="F45" i="48"/>
  <c r="F42" i="48"/>
  <c r="F38" i="48"/>
  <c r="F26" i="48"/>
  <c r="F60" i="48"/>
  <c r="F56" i="48"/>
  <c r="F53" i="48"/>
  <c r="F37" i="48"/>
  <c r="F25" i="48"/>
  <c r="F20" i="48"/>
  <c r="F69" i="48"/>
  <c r="F47" i="48"/>
  <c r="F44" i="48"/>
  <c r="F36" i="48"/>
  <c r="F24" i="48"/>
  <c r="F17" i="48"/>
  <c r="Z20" i="48"/>
  <c r="F22" i="48"/>
  <c r="J43" i="48"/>
  <c r="N50" i="48"/>
  <c r="N54" i="48"/>
  <c r="L18" i="51"/>
  <c r="L12" i="37"/>
  <c r="F15" i="37"/>
  <c r="V15" i="37"/>
  <c r="D18" i="37"/>
  <c r="T18" i="37"/>
  <c r="F25" i="37"/>
  <c r="V25" i="37"/>
  <c r="F29" i="37"/>
  <c r="V29" i="37"/>
  <c r="F33" i="37"/>
  <c r="V33" i="37"/>
  <c r="J16" i="38"/>
  <c r="J22" i="39"/>
  <c r="F23" i="39"/>
  <c r="D25" i="39"/>
  <c r="T25" i="39"/>
  <c r="J30" i="39"/>
  <c r="F31" i="39"/>
  <c r="V34" i="39"/>
  <c r="F38" i="39"/>
  <c r="V38" i="39"/>
  <c r="J42" i="39"/>
  <c r="F43" i="39"/>
  <c r="V46" i="39"/>
  <c r="V50" i="39"/>
  <c r="J54" i="39"/>
  <c r="F58" i="39"/>
  <c r="V58" i="39"/>
  <c r="J60" i="39"/>
  <c r="F63" i="39"/>
  <c r="F66" i="39"/>
  <c r="V66" i="39"/>
  <c r="J68" i="39"/>
  <c r="F71" i="39"/>
  <c r="F75" i="39"/>
  <c r="J78" i="39"/>
  <c r="F79" i="39"/>
  <c r="F83" i="39"/>
  <c r="J86" i="39"/>
  <c r="F87" i="39"/>
  <c r="V90" i="39"/>
  <c r="J94" i="39"/>
  <c r="F98" i="39"/>
  <c r="V98" i="39"/>
  <c r="F104" i="39"/>
  <c r="V110" i="39"/>
  <c r="N12" i="40"/>
  <c r="L12" i="41"/>
  <c r="F15" i="41"/>
  <c r="V15" i="41"/>
  <c r="D18" i="41"/>
  <c r="T18" i="41"/>
  <c r="F25" i="41"/>
  <c r="V25" i="41"/>
  <c r="F29" i="41"/>
  <c r="V29" i="41"/>
  <c r="F33" i="41"/>
  <c r="V33" i="41"/>
  <c r="J19" i="42"/>
  <c r="J25" i="42"/>
  <c r="J27" i="42"/>
  <c r="V31" i="42"/>
  <c r="J35" i="42"/>
  <c r="J39" i="42"/>
  <c r="V43" i="42"/>
  <c r="V47" i="42"/>
  <c r="J49" i="42"/>
  <c r="J55" i="42"/>
  <c r="V59" i="42"/>
  <c r="J63" i="42"/>
  <c r="V67" i="42"/>
  <c r="V71" i="42"/>
  <c r="V75" i="42"/>
  <c r="V79" i="42"/>
  <c r="V83" i="42"/>
  <c r="J87" i="42"/>
  <c r="J91" i="42"/>
  <c r="V95" i="42"/>
  <c r="J16" i="43"/>
  <c r="R33" i="44"/>
  <c r="V29" i="45"/>
  <c r="V41" i="45"/>
  <c r="V53" i="45"/>
  <c r="V61" i="45"/>
  <c r="V69" i="45"/>
  <c r="V73" i="45"/>
  <c r="V77" i="45"/>
  <c r="V85" i="45"/>
  <c r="X15" i="46"/>
  <c r="T18" i="46"/>
  <c r="X21" i="46"/>
  <c r="L29" i="46"/>
  <c r="D18" i="47"/>
  <c r="X25" i="47"/>
  <c r="X29" i="47"/>
  <c r="L13" i="48"/>
  <c r="N13" i="48" s="1"/>
  <c r="F46" i="48"/>
  <c r="J49" i="48"/>
  <c r="F65" i="48"/>
  <c r="J18" i="51"/>
  <c r="N18" i="51"/>
  <c r="F36" i="46"/>
  <c r="L13" i="47"/>
  <c r="J16" i="47"/>
  <c r="P71" i="48"/>
  <c r="J21" i="48"/>
  <c r="N30" i="48"/>
  <c r="Z47" i="48"/>
  <c r="Z60" i="48"/>
  <c r="N65" i="48"/>
  <c r="X20" i="50"/>
  <c r="V24" i="46"/>
  <c r="F21" i="47"/>
  <c r="V21" i="47"/>
  <c r="R27" i="47"/>
  <c r="R31" i="47"/>
  <c r="R34" i="47"/>
  <c r="V27" i="48"/>
  <c r="R28" i="48"/>
  <c r="V31" i="48"/>
  <c r="R32" i="48"/>
  <c r="V39" i="48"/>
  <c r="R40" i="48"/>
  <c r="Z41" i="48"/>
  <c r="N43" i="48"/>
  <c r="R45" i="48"/>
  <c r="V47" i="48"/>
  <c r="R48" i="48"/>
  <c r="V51" i="48"/>
  <c r="V63" i="48"/>
  <c r="R64" i="48"/>
  <c r="Z65" i="48"/>
  <c r="R71" i="48"/>
  <c r="J16" i="49"/>
  <c r="Z16" i="49"/>
  <c r="J20" i="49"/>
  <c r="Z20" i="49"/>
  <c r="F22" i="49"/>
  <c r="V22" i="49"/>
  <c r="N24" i="49"/>
  <c r="P18" i="50"/>
  <c r="N21" i="50"/>
  <c r="R25" i="50"/>
  <c r="J27" i="50"/>
  <c r="R29" i="50"/>
  <c r="J31" i="50"/>
  <c r="R33" i="50"/>
  <c r="J34" i="50"/>
  <c r="Z34" i="50"/>
  <c r="R36" i="50"/>
  <c r="V21" i="51"/>
  <c r="R22" i="51"/>
  <c r="P30" i="51"/>
  <c r="N33" i="51"/>
  <c r="V37" i="51"/>
  <c r="R38" i="51"/>
  <c r="J41" i="51"/>
  <c r="J45" i="51"/>
  <c r="V49" i="51"/>
  <c r="R50" i="51"/>
  <c r="J55" i="51"/>
  <c r="J58" i="51"/>
  <c r="N59" i="51"/>
  <c r="L67" i="51"/>
  <c r="J69" i="51"/>
  <c r="R75" i="51"/>
  <c r="X15" i="52"/>
  <c r="Z18" i="52"/>
  <c r="P22" i="54"/>
  <c r="Z28" i="54"/>
  <c r="N18" i="56"/>
  <c r="X12" i="46"/>
  <c r="V27" i="46"/>
  <c r="V31" i="46"/>
  <c r="V34" i="46"/>
  <c r="R16" i="47"/>
  <c r="R20" i="47"/>
  <c r="F24" i="47"/>
  <c r="V24" i="47"/>
  <c r="V20" i="48"/>
  <c r="R21" i="48"/>
  <c r="V28" i="48"/>
  <c r="R29" i="48"/>
  <c r="V32" i="48"/>
  <c r="R33" i="48"/>
  <c r="V40" i="48"/>
  <c r="V48" i="48"/>
  <c r="R49" i="48"/>
  <c r="R54" i="48"/>
  <c r="V56" i="48"/>
  <c r="R57" i="48"/>
  <c r="V60" i="48"/>
  <c r="R61" i="48"/>
  <c r="V64" i="48"/>
  <c r="R68" i="48"/>
  <c r="R73" i="48"/>
  <c r="L12" i="49"/>
  <c r="F15" i="49"/>
  <c r="V15" i="49"/>
  <c r="D18" i="49"/>
  <c r="T18" i="49"/>
  <c r="R21" i="49"/>
  <c r="F25" i="49"/>
  <c r="V25" i="49"/>
  <c r="F29" i="49"/>
  <c r="V29" i="49"/>
  <c r="F33" i="49"/>
  <c r="V33" i="49"/>
  <c r="F36" i="49"/>
  <c r="V36" i="49"/>
  <c r="J16" i="50"/>
  <c r="R18" i="50"/>
  <c r="J20" i="50"/>
  <c r="F22" i="50"/>
  <c r="V22" i="50"/>
  <c r="J74" i="51"/>
  <c r="J67" i="51"/>
  <c r="J59" i="51"/>
  <c r="J71" i="51"/>
  <c r="J65" i="51"/>
  <c r="J57" i="51"/>
  <c r="J62" i="51"/>
  <c r="J54" i="51"/>
  <c r="V22" i="51"/>
  <c r="R23" i="51"/>
  <c r="J26" i="51"/>
  <c r="R30" i="51"/>
  <c r="J32" i="51"/>
  <c r="J34" i="51"/>
  <c r="V38" i="51"/>
  <c r="R39" i="51"/>
  <c r="J42" i="51"/>
  <c r="R44" i="51"/>
  <c r="J46" i="51"/>
  <c r="V50" i="51"/>
  <c r="R51" i="51"/>
  <c r="V52" i="51"/>
  <c r="R53" i="51"/>
  <c r="R54" i="51"/>
  <c r="L55" i="51"/>
  <c r="N55" i="51" s="1"/>
  <c r="J56" i="51"/>
  <c r="J61" i="51"/>
  <c r="J68" i="51"/>
  <c r="V71" i="51"/>
  <c r="R80" i="51"/>
  <c r="L15" i="52"/>
  <c r="X15" i="53"/>
  <c r="P18" i="53"/>
  <c r="N18" i="55"/>
  <c r="Z12" i="46"/>
  <c r="V16" i="46"/>
  <c r="V20" i="46"/>
  <c r="R22" i="46"/>
  <c r="X12" i="47"/>
  <c r="F27" i="47"/>
  <c r="V27" i="47"/>
  <c r="F31" i="47"/>
  <c r="V31" i="47"/>
  <c r="F34" i="47"/>
  <c r="V34" i="47"/>
  <c r="X12" i="48"/>
  <c r="Z12" i="48" s="1"/>
  <c r="R15" i="48"/>
  <c r="R19" i="48"/>
  <c r="V21" i="48"/>
  <c r="R22" i="48"/>
  <c r="V29" i="48"/>
  <c r="V33" i="48"/>
  <c r="R34" i="48"/>
  <c r="R43" i="48"/>
  <c r="V45" i="48"/>
  <c r="R46" i="48"/>
  <c r="V49" i="48"/>
  <c r="V57" i="48"/>
  <c r="R58" i="48"/>
  <c r="V61" i="48"/>
  <c r="D68" i="48"/>
  <c r="L68" i="48" s="1"/>
  <c r="N68" i="48" s="1"/>
  <c r="V73" i="48"/>
  <c r="N12" i="49"/>
  <c r="F18" i="49"/>
  <c r="V18" i="49"/>
  <c r="J22" i="49"/>
  <c r="R24" i="49"/>
  <c r="L12" i="50"/>
  <c r="F15" i="50"/>
  <c r="V15" i="50"/>
  <c r="D18" i="50"/>
  <c r="T18" i="50"/>
  <c r="R21" i="50"/>
  <c r="F25" i="50"/>
  <c r="V25" i="50"/>
  <c r="F29" i="50"/>
  <c r="V29" i="50"/>
  <c r="F33" i="50"/>
  <c r="V33" i="50"/>
  <c r="F36" i="50"/>
  <c r="V36" i="50"/>
  <c r="J19" i="51"/>
  <c r="V23" i="51"/>
  <c r="R24" i="51"/>
  <c r="J27" i="51"/>
  <c r="T30" i="51"/>
  <c r="R33" i="51"/>
  <c r="J35" i="51"/>
  <c r="V39" i="51"/>
  <c r="R40" i="51"/>
  <c r="J43" i="51"/>
  <c r="J47" i="51"/>
  <c r="V53" i="51"/>
  <c r="V54" i="51"/>
  <c r="R59" i="51"/>
  <c r="R60" i="51"/>
  <c r="L61" i="51"/>
  <c r="N61" i="51" s="1"/>
  <c r="J63" i="51"/>
  <c r="J66" i="51"/>
  <c r="N67" i="51"/>
  <c r="R70" i="51"/>
  <c r="V80" i="51"/>
  <c r="F21" i="52"/>
  <c r="F36" i="52"/>
  <c r="F22" i="52"/>
  <c r="F20" i="52"/>
  <c r="F34" i="52"/>
  <c r="F31" i="52"/>
  <c r="F27" i="52"/>
  <c r="F24" i="52"/>
  <c r="F15" i="52"/>
  <c r="X22" i="52"/>
  <c r="F29" i="52"/>
  <c r="N34" i="53"/>
  <c r="L34" i="53"/>
  <c r="Z29" i="57"/>
  <c r="Z46" i="57"/>
  <c r="N48" i="57"/>
  <c r="Z54" i="57"/>
  <c r="F16" i="47"/>
  <c r="F20" i="47"/>
  <c r="V22" i="48"/>
  <c r="R23" i="48"/>
  <c r="V34" i="48"/>
  <c r="R35" i="48"/>
  <c r="V46" i="48"/>
  <c r="R52" i="48"/>
  <c r="V54" i="48"/>
  <c r="R55" i="48"/>
  <c r="V58" i="48"/>
  <c r="R59" i="48"/>
  <c r="V68" i="48"/>
  <c r="J15" i="49"/>
  <c r="H18" i="49"/>
  <c r="F21" i="49"/>
  <c r="V21" i="49"/>
  <c r="J25" i="49"/>
  <c r="R27" i="49"/>
  <c r="J29" i="49"/>
  <c r="R31" i="49"/>
  <c r="J33" i="49"/>
  <c r="R34" i="49"/>
  <c r="J36" i="49"/>
  <c r="N12" i="50"/>
  <c r="F18" i="50"/>
  <c r="V18" i="50"/>
  <c r="J22" i="50"/>
  <c r="R24" i="50"/>
  <c r="R18" i="51"/>
  <c r="J20" i="51"/>
  <c r="V24" i="51"/>
  <c r="R25" i="51"/>
  <c r="J28" i="51"/>
  <c r="J36" i="51"/>
  <c r="V40" i="51"/>
  <c r="R41" i="51"/>
  <c r="V44" i="51"/>
  <c r="R45" i="51"/>
  <c r="J48" i="51"/>
  <c r="V56" i="51"/>
  <c r="X57" i="51"/>
  <c r="Z59" i="51"/>
  <c r="V60" i="51"/>
  <c r="R62" i="51"/>
  <c r="J64" i="51"/>
  <c r="R68" i="51"/>
  <c r="L74" i="51"/>
  <c r="D73" i="51"/>
  <c r="L73" i="51" s="1"/>
  <c r="N73" i="51" s="1"/>
  <c r="T27" i="53"/>
  <c r="Z18" i="53"/>
  <c r="T68" i="56"/>
  <c r="Z16" i="56"/>
  <c r="P18" i="47"/>
  <c r="R25" i="47"/>
  <c r="R29" i="47"/>
  <c r="R33" i="47"/>
  <c r="R36" i="47"/>
  <c r="V23" i="48"/>
  <c r="R24" i="48"/>
  <c r="V35" i="48"/>
  <c r="R36" i="48"/>
  <c r="R41" i="48"/>
  <c r="V43" i="48"/>
  <c r="R44" i="48"/>
  <c r="V55" i="48"/>
  <c r="V59" i="48"/>
  <c r="R65" i="48"/>
  <c r="J18" i="49"/>
  <c r="F21" i="50"/>
  <c r="V21" i="50"/>
  <c r="J25" i="50"/>
  <c r="R27" i="50"/>
  <c r="J29" i="50"/>
  <c r="R31" i="50"/>
  <c r="J33" i="50"/>
  <c r="R34" i="50"/>
  <c r="R73" i="51"/>
  <c r="R66" i="51"/>
  <c r="R63" i="51"/>
  <c r="R58" i="51"/>
  <c r="R55" i="51"/>
  <c r="R71" i="51"/>
  <c r="R76" i="51"/>
  <c r="R64" i="51"/>
  <c r="R61" i="51"/>
  <c r="R56" i="51"/>
  <c r="R52" i="51"/>
  <c r="V25" i="51"/>
  <c r="R26" i="51"/>
  <c r="H30" i="51"/>
  <c r="V33" i="51"/>
  <c r="R34" i="51"/>
  <c r="J37" i="51"/>
  <c r="V41" i="51"/>
  <c r="R42" i="51"/>
  <c r="V45" i="51"/>
  <c r="R46" i="51"/>
  <c r="J49" i="51"/>
  <c r="R57" i="51"/>
  <c r="V59" i="51"/>
  <c r="V62" i="51"/>
  <c r="R67" i="51"/>
  <c r="J73" i="51"/>
  <c r="J75" i="51"/>
  <c r="J76" i="51"/>
  <c r="L13" i="52"/>
  <c r="D27" i="52"/>
  <c r="D69" i="57"/>
  <c r="R53" i="48"/>
  <c r="R62" i="48"/>
  <c r="R69" i="48"/>
  <c r="V24" i="50"/>
  <c r="V75" i="51"/>
  <c r="V69" i="51"/>
  <c r="V65" i="51"/>
  <c r="V57" i="51"/>
  <c r="V74" i="51"/>
  <c r="V70" i="51"/>
  <c r="V73" i="51"/>
  <c r="V63" i="51"/>
  <c r="V55" i="51"/>
  <c r="V51" i="51"/>
  <c r="V66" i="51"/>
  <c r="V58" i="51"/>
  <c r="V18" i="51"/>
  <c r="V26" i="51"/>
  <c r="V34" i="51"/>
  <c r="V42" i="51"/>
  <c r="V46" i="51"/>
  <c r="V61" i="51"/>
  <c r="V64" i="51"/>
  <c r="P35" i="55"/>
  <c r="Z58" i="56"/>
  <c r="N60" i="56"/>
  <c r="N63" i="56"/>
  <c r="T69" i="57"/>
  <c r="L59" i="51"/>
  <c r="R65" i="51"/>
  <c r="V67" i="51"/>
  <c r="L70" i="51"/>
  <c r="P73" i="51"/>
  <c r="X73" i="51" s="1"/>
  <c r="Z73" i="51" s="1"/>
  <c r="Z23" i="55"/>
  <c r="R27" i="46"/>
  <c r="R31" i="46"/>
  <c r="T17" i="48"/>
  <c r="X17" i="48" s="1"/>
  <c r="R20" i="48"/>
  <c r="V26" i="48"/>
  <c r="R27" i="48"/>
  <c r="V30" i="48"/>
  <c r="R31" i="48"/>
  <c r="V38" i="48"/>
  <c r="R39" i="48"/>
  <c r="V42" i="48"/>
  <c r="V50" i="48"/>
  <c r="R51" i="48"/>
  <c r="R56" i="48"/>
  <c r="R60" i="48"/>
  <c r="V62" i="48"/>
  <c r="J27" i="49"/>
  <c r="J31" i="49"/>
  <c r="Z12" i="50"/>
  <c r="F16" i="50"/>
  <c r="V16" i="50"/>
  <c r="Z12" i="51"/>
  <c r="V20" i="51"/>
  <c r="R21" i="51"/>
  <c r="V28" i="51"/>
  <c r="V32" i="51"/>
  <c r="V36" i="51"/>
  <c r="R37" i="51"/>
  <c r="J40" i="51"/>
  <c r="V48" i="51"/>
  <c r="R49" i="51"/>
  <c r="J60" i="51"/>
  <c r="Z65" i="51"/>
  <c r="X67" i="51"/>
  <c r="Z67" i="51" s="1"/>
  <c r="N70" i="51"/>
  <c r="R74" i="51"/>
  <c r="V76" i="51"/>
  <c r="J80" i="51"/>
  <c r="N44" i="57"/>
  <c r="R16" i="52"/>
  <c r="J18" i="52"/>
  <c r="R20" i="52"/>
  <c r="V24" i="52"/>
  <c r="J15" i="53"/>
  <c r="Z15" i="53"/>
  <c r="H18" i="53"/>
  <c r="F21" i="53"/>
  <c r="V21" i="53"/>
  <c r="J25" i="53"/>
  <c r="R27" i="53"/>
  <c r="J29" i="53"/>
  <c r="R31" i="53"/>
  <c r="J33" i="53"/>
  <c r="R34" i="53"/>
  <c r="J36" i="53"/>
  <c r="N12" i="54"/>
  <c r="J14" i="54"/>
  <c r="R16" i="54"/>
  <c r="J18" i="54"/>
  <c r="R20" i="54"/>
  <c r="J22" i="54"/>
  <c r="R26" i="54"/>
  <c r="J28" i="54"/>
  <c r="R29" i="54"/>
  <c r="J31" i="54"/>
  <c r="F16" i="55"/>
  <c r="V16" i="55"/>
  <c r="V22" i="55"/>
  <c r="J26" i="55"/>
  <c r="F27" i="55"/>
  <c r="F33" i="55"/>
  <c r="X12" i="56"/>
  <c r="H16" i="56"/>
  <c r="F19" i="56"/>
  <c r="V19" i="56"/>
  <c r="R20" i="56"/>
  <c r="J23" i="56"/>
  <c r="F24" i="56"/>
  <c r="V27" i="56"/>
  <c r="R28" i="56"/>
  <c r="J29" i="56"/>
  <c r="V31" i="56"/>
  <c r="R32" i="56"/>
  <c r="J35" i="56"/>
  <c r="F36" i="56"/>
  <c r="V39" i="56"/>
  <c r="J43" i="56"/>
  <c r="V47" i="56"/>
  <c r="J51" i="56"/>
  <c r="F55" i="56"/>
  <c r="V55" i="56"/>
  <c r="R56" i="56"/>
  <c r="V59" i="56"/>
  <c r="F64" i="56"/>
  <c r="F70" i="56"/>
  <c r="X12" i="57"/>
  <c r="H16" i="57"/>
  <c r="F19" i="57"/>
  <c r="V19" i="57"/>
  <c r="R20" i="57"/>
  <c r="J23" i="57"/>
  <c r="F24" i="57"/>
  <c r="V27" i="57"/>
  <c r="R28" i="57"/>
  <c r="J29" i="57"/>
  <c r="V31" i="57"/>
  <c r="R32" i="57"/>
  <c r="J35" i="57"/>
  <c r="F36" i="57"/>
  <c r="V39" i="57"/>
  <c r="J43" i="57"/>
  <c r="V47" i="57"/>
  <c r="X52" i="57"/>
  <c r="Z52" i="57" s="1"/>
  <c r="F58" i="57"/>
  <c r="V58" i="57"/>
  <c r="X60" i="57"/>
  <c r="J63" i="57"/>
  <c r="J69" i="57"/>
  <c r="L12" i="58"/>
  <c r="L18" i="58"/>
  <c r="N18" i="58" s="1"/>
  <c r="J31" i="58"/>
  <c r="J38" i="58"/>
  <c r="X43" i="58"/>
  <c r="J60" i="58"/>
  <c r="X12" i="52"/>
  <c r="J21" i="52"/>
  <c r="V27" i="52"/>
  <c r="V31" i="52"/>
  <c r="V34" i="52"/>
  <c r="L15" i="53"/>
  <c r="R16" i="53"/>
  <c r="J18" i="53"/>
  <c r="R20" i="53"/>
  <c r="F24" i="53"/>
  <c r="V24" i="53"/>
  <c r="D16" i="54"/>
  <c r="T16" i="54"/>
  <c r="F24" i="54"/>
  <c r="X12" i="55"/>
  <c r="H16" i="55"/>
  <c r="F19" i="55"/>
  <c r="V19" i="55"/>
  <c r="R20" i="55"/>
  <c r="J21" i="55"/>
  <c r="F24" i="55"/>
  <c r="R25" i="55"/>
  <c r="J27" i="55"/>
  <c r="F29" i="55"/>
  <c r="V29" i="55"/>
  <c r="J33" i="55"/>
  <c r="F35" i="55"/>
  <c r="V35" i="55"/>
  <c r="Z12" i="56"/>
  <c r="R14" i="56"/>
  <c r="J16" i="56"/>
  <c r="R18" i="56"/>
  <c r="V20" i="56"/>
  <c r="R21" i="56"/>
  <c r="J24" i="56"/>
  <c r="F25" i="56"/>
  <c r="V28" i="56"/>
  <c r="V32" i="56"/>
  <c r="R33" i="56"/>
  <c r="J36" i="56"/>
  <c r="F37" i="56"/>
  <c r="F41" i="56"/>
  <c r="R42" i="56"/>
  <c r="F44" i="56"/>
  <c r="V44" i="56"/>
  <c r="R45" i="56"/>
  <c r="J46" i="56"/>
  <c r="F49" i="56"/>
  <c r="R50" i="56"/>
  <c r="F52" i="56"/>
  <c r="V52" i="56"/>
  <c r="R53" i="56"/>
  <c r="V56" i="56"/>
  <c r="R57" i="56"/>
  <c r="J58" i="56"/>
  <c r="F61" i="56"/>
  <c r="J64" i="56"/>
  <c r="F66" i="56"/>
  <c r="V66" i="56"/>
  <c r="J70" i="56"/>
  <c r="F72" i="56"/>
  <c r="V72" i="56"/>
  <c r="Z12" i="57"/>
  <c r="R14" i="57"/>
  <c r="J16" i="57"/>
  <c r="Z16" i="57"/>
  <c r="R18" i="57"/>
  <c r="V20" i="57"/>
  <c r="R21" i="57"/>
  <c r="J24" i="57"/>
  <c r="F25" i="57"/>
  <c r="V28" i="57"/>
  <c r="V32" i="57"/>
  <c r="R33" i="57"/>
  <c r="J36" i="57"/>
  <c r="F37" i="57"/>
  <c r="F41" i="57"/>
  <c r="R42" i="57"/>
  <c r="F44" i="57"/>
  <c r="V44" i="57"/>
  <c r="R45" i="57"/>
  <c r="J46" i="57"/>
  <c r="R52" i="57"/>
  <c r="J54" i="57"/>
  <c r="R56" i="57"/>
  <c r="R60" i="57"/>
  <c r="F18" i="58"/>
  <c r="J42" i="58"/>
  <c r="J21" i="53"/>
  <c r="F31" i="53"/>
  <c r="F34" i="53"/>
  <c r="F16" i="54"/>
  <c r="V16" i="54"/>
  <c r="F20" i="54"/>
  <c r="V20" i="54"/>
  <c r="J24" i="54"/>
  <c r="F26" i="54"/>
  <c r="V26" i="54"/>
  <c r="F29" i="54"/>
  <c r="V29" i="54"/>
  <c r="R22" i="56"/>
  <c r="F26" i="56"/>
  <c r="F30" i="56"/>
  <c r="R34" i="56"/>
  <c r="F38" i="56"/>
  <c r="J49" i="56"/>
  <c r="V53" i="56"/>
  <c r="R54" i="56"/>
  <c r="J55" i="56"/>
  <c r="V57" i="56"/>
  <c r="J61" i="56"/>
  <c r="F62" i="56"/>
  <c r="R63" i="56"/>
  <c r="F72" i="57"/>
  <c r="F65" i="57"/>
  <c r="L16" i="57"/>
  <c r="R22" i="57"/>
  <c r="F26" i="57"/>
  <c r="F30" i="57"/>
  <c r="R34" i="57"/>
  <c r="J37" i="57"/>
  <c r="F38" i="57"/>
  <c r="J41" i="57"/>
  <c r="V45" i="57"/>
  <c r="J49" i="57"/>
  <c r="F50" i="57"/>
  <c r="F51" i="57"/>
  <c r="R53" i="57"/>
  <c r="F55" i="57"/>
  <c r="R57" i="57"/>
  <c r="R61" i="57"/>
  <c r="R67" i="57"/>
  <c r="R72" i="57"/>
  <c r="Z43" i="58"/>
  <c r="X12" i="54"/>
  <c r="H16" i="54"/>
  <c r="J19" i="55"/>
  <c r="F22" i="55"/>
  <c r="R23" i="55"/>
  <c r="F25" i="55"/>
  <c r="V25" i="55"/>
  <c r="R26" i="55"/>
  <c r="J29" i="55"/>
  <c r="R31" i="55"/>
  <c r="J35" i="55"/>
  <c r="R38" i="55"/>
  <c r="F14" i="56"/>
  <c r="F18" i="56"/>
  <c r="V22" i="56"/>
  <c r="R23" i="56"/>
  <c r="J26" i="56"/>
  <c r="F27" i="56"/>
  <c r="J30" i="56"/>
  <c r="F31" i="56"/>
  <c r="V34" i="56"/>
  <c r="R35" i="56"/>
  <c r="J38" i="56"/>
  <c r="F39" i="56"/>
  <c r="R40" i="56"/>
  <c r="F42" i="56"/>
  <c r="V42" i="56"/>
  <c r="R43" i="56"/>
  <c r="J44" i="56"/>
  <c r="F47" i="56"/>
  <c r="R48" i="56"/>
  <c r="F50" i="56"/>
  <c r="V50" i="56"/>
  <c r="R51" i="56"/>
  <c r="J52" i="56"/>
  <c r="V54" i="56"/>
  <c r="F59" i="56"/>
  <c r="R60" i="56"/>
  <c r="J62" i="56"/>
  <c r="J66" i="56"/>
  <c r="R68" i="56"/>
  <c r="J72" i="56"/>
  <c r="R75" i="56"/>
  <c r="J57" i="57"/>
  <c r="J72" i="57"/>
  <c r="J65" i="57"/>
  <c r="F14" i="57"/>
  <c r="F18" i="57"/>
  <c r="V22" i="57"/>
  <c r="R23" i="57"/>
  <c r="J26" i="57"/>
  <c r="F27" i="57"/>
  <c r="J30" i="57"/>
  <c r="F31" i="57"/>
  <c r="V34" i="57"/>
  <c r="R35" i="57"/>
  <c r="J38" i="57"/>
  <c r="F39" i="57"/>
  <c r="R40" i="57"/>
  <c r="F42" i="57"/>
  <c r="V42" i="57"/>
  <c r="R43" i="57"/>
  <c r="J44" i="57"/>
  <c r="F47" i="57"/>
  <c r="R48" i="57"/>
  <c r="J50" i="57"/>
  <c r="J51" i="57"/>
  <c r="F52" i="57"/>
  <c r="V52" i="57"/>
  <c r="J55" i="57"/>
  <c r="F56" i="57"/>
  <c r="V56" i="57"/>
  <c r="V57" i="57"/>
  <c r="F59" i="57"/>
  <c r="V60" i="57"/>
  <c r="V69" i="57"/>
  <c r="F20" i="58"/>
  <c r="Z18" i="59"/>
  <c r="J16" i="52"/>
  <c r="J20" i="52"/>
  <c r="R25" i="53"/>
  <c r="J27" i="53"/>
  <c r="R29" i="53"/>
  <c r="J31" i="53"/>
  <c r="R33" i="53"/>
  <c r="J34" i="53"/>
  <c r="R36" i="53"/>
  <c r="Z12" i="54"/>
  <c r="J16" i="54"/>
  <c r="J20" i="54"/>
  <c r="J26" i="54"/>
  <c r="J22" i="55"/>
  <c r="V26" i="55"/>
  <c r="L12" i="56"/>
  <c r="X14" i="56"/>
  <c r="P16" i="56"/>
  <c r="F20" i="56"/>
  <c r="R24" i="56"/>
  <c r="J27" i="56"/>
  <c r="F28" i="56"/>
  <c r="R29" i="56"/>
  <c r="J31" i="56"/>
  <c r="F32" i="56"/>
  <c r="V35" i="56"/>
  <c r="R36" i="56"/>
  <c r="J39" i="56"/>
  <c r="X42" i="56"/>
  <c r="Z42" i="56" s="1"/>
  <c r="V43" i="56"/>
  <c r="L44" i="56"/>
  <c r="N44" i="56" s="1"/>
  <c r="J47" i="56"/>
  <c r="X50" i="56"/>
  <c r="Z50" i="56" s="1"/>
  <c r="V51" i="56"/>
  <c r="L52" i="56"/>
  <c r="N52" i="56" s="1"/>
  <c r="F56" i="56"/>
  <c r="J59" i="56"/>
  <c r="F63" i="56"/>
  <c r="V63" i="56"/>
  <c r="R64" i="56"/>
  <c r="L66" i="56"/>
  <c r="R70" i="56"/>
  <c r="L12" i="57"/>
  <c r="X14" i="57"/>
  <c r="P16" i="57"/>
  <c r="X18" i="57"/>
  <c r="Z18" i="57" s="1"/>
  <c r="F20" i="57"/>
  <c r="V23" i="57"/>
  <c r="R24" i="57"/>
  <c r="J27" i="57"/>
  <c r="F28" i="57"/>
  <c r="R29" i="57"/>
  <c r="J31" i="57"/>
  <c r="F32" i="57"/>
  <c r="V35" i="57"/>
  <c r="R36" i="57"/>
  <c r="J39" i="57"/>
  <c r="X42" i="57"/>
  <c r="Z42" i="57" s="1"/>
  <c r="V43" i="57"/>
  <c r="L44" i="57"/>
  <c r="J47" i="57"/>
  <c r="R54" i="57"/>
  <c r="X56" i="57"/>
  <c r="Z56" i="57" s="1"/>
  <c r="J59" i="57"/>
  <c r="F60" i="57"/>
  <c r="V63" i="57"/>
  <c r="R65" i="57"/>
  <c r="X14" i="58"/>
  <c r="F28" i="58"/>
  <c r="N45" i="58"/>
  <c r="J16" i="53"/>
  <c r="J20" i="53"/>
  <c r="J28" i="56"/>
  <c r="J32" i="56"/>
  <c r="F33" i="56"/>
  <c r="V36" i="56"/>
  <c r="R37" i="56"/>
  <c r="F40" i="56"/>
  <c r="V40" i="56"/>
  <c r="R41" i="56"/>
  <c r="J42" i="56"/>
  <c r="F45" i="56"/>
  <c r="R46" i="56"/>
  <c r="F48" i="56"/>
  <c r="V48" i="56"/>
  <c r="R49" i="56"/>
  <c r="J50" i="56"/>
  <c r="F53" i="56"/>
  <c r="J56" i="56"/>
  <c r="F57" i="56"/>
  <c r="R58" i="56"/>
  <c r="F60" i="56"/>
  <c r="V60" i="56"/>
  <c r="R61" i="56"/>
  <c r="V64" i="56"/>
  <c r="F68" i="56"/>
  <c r="V68" i="56"/>
  <c r="V70" i="56"/>
  <c r="F75" i="56"/>
  <c r="V75" i="56"/>
  <c r="R16" i="57"/>
  <c r="F21" i="57"/>
  <c r="R25" i="57"/>
  <c r="J28" i="57"/>
  <c r="J32" i="57"/>
  <c r="F33" i="57"/>
  <c r="V36" i="57"/>
  <c r="R37" i="57"/>
  <c r="F40" i="57"/>
  <c r="V40" i="57"/>
  <c r="R41" i="57"/>
  <c r="J42" i="57"/>
  <c r="F45" i="57"/>
  <c r="R46" i="57"/>
  <c r="F48" i="57"/>
  <c r="V48" i="57"/>
  <c r="R49" i="57"/>
  <c r="J52" i="57"/>
  <c r="J56" i="57"/>
  <c r="F27" i="58"/>
  <c r="X51" i="58"/>
  <c r="L57" i="58"/>
  <c r="L12" i="53"/>
  <c r="F25" i="53"/>
  <c r="F29" i="53"/>
  <c r="F33" i="53"/>
  <c r="F36" i="53"/>
  <c r="F14" i="54"/>
  <c r="V14" i="54"/>
  <c r="F18" i="54"/>
  <c r="V18" i="54"/>
  <c r="F22" i="54"/>
  <c r="V22" i="54"/>
  <c r="V24" i="54"/>
  <c r="F28" i="54"/>
  <c r="V28" i="54"/>
  <c r="F31" i="54"/>
  <c r="D16" i="56"/>
  <c r="R19" i="56"/>
  <c r="F22" i="56"/>
  <c r="R26" i="56"/>
  <c r="F29" i="56"/>
  <c r="R30" i="56"/>
  <c r="F34" i="56"/>
  <c r="R38" i="56"/>
  <c r="J53" i="56"/>
  <c r="F54" i="56"/>
  <c r="R55" i="56"/>
  <c r="J57" i="56"/>
  <c r="V61" i="56"/>
  <c r="R62" i="56"/>
  <c r="J63" i="56"/>
  <c r="R50" i="57"/>
  <c r="R69" i="57"/>
  <c r="R63" i="57"/>
  <c r="R19" i="57"/>
  <c r="R26" i="57"/>
  <c r="F29" i="57"/>
  <c r="R30" i="57"/>
  <c r="F34" i="57"/>
  <c r="R38" i="57"/>
  <c r="F53" i="57"/>
  <c r="R55" i="57"/>
  <c r="R58" i="57"/>
  <c r="J60" i="57"/>
  <c r="F61" i="57"/>
  <c r="F63" i="57"/>
  <c r="F67" i="57"/>
  <c r="F69" i="57"/>
  <c r="F69" i="58"/>
  <c r="F66" i="58"/>
  <c r="F58" i="58"/>
  <c r="F54" i="58"/>
  <c r="F49" i="58"/>
  <c r="F46" i="58"/>
  <c r="F41" i="58"/>
  <c r="F34" i="58"/>
  <c r="F22" i="58"/>
  <c r="D16" i="58"/>
  <c r="F65" i="58"/>
  <c r="F61" i="58"/>
  <c r="F33" i="58"/>
  <c r="F29" i="58"/>
  <c r="F21" i="58"/>
  <c r="F68" i="58"/>
  <c r="F64" i="58"/>
  <c r="F51" i="58"/>
  <c r="F48" i="58"/>
  <c r="F43" i="58"/>
  <c r="F40" i="58"/>
  <c r="F78" i="58"/>
  <c r="F72" i="58"/>
  <c r="F63" i="58"/>
  <c r="F76" i="58"/>
  <c r="F70" i="58"/>
  <c r="F57" i="58"/>
  <c r="F53" i="58"/>
  <c r="F50" i="58"/>
  <c r="F45" i="58"/>
  <c r="F42" i="58"/>
  <c r="F38" i="58"/>
  <c r="F26" i="58"/>
  <c r="F60" i="58"/>
  <c r="F37" i="58"/>
  <c r="F25" i="58"/>
  <c r="F67" i="58"/>
  <c r="F56" i="58"/>
  <c r="F52" i="58"/>
  <c r="F47" i="58"/>
  <c r="F44" i="58"/>
  <c r="F36" i="58"/>
  <c r="F24" i="58"/>
  <c r="F19" i="58"/>
  <c r="F81" i="58"/>
  <c r="F74" i="58"/>
  <c r="F62" i="58"/>
  <c r="F59" i="58"/>
  <c r="F55" i="58"/>
  <c r="F35" i="58"/>
  <c r="F30" i="58"/>
  <c r="F23" i="58"/>
  <c r="F16" i="58"/>
  <c r="F14" i="58"/>
  <c r="F39" i="58"/>
  <c r="Z51" i="58"/>
  <c r="N57" i="58"/>
  <c r="J15" i="52"/>
  <c r="H18" i="52"/>
  <c r="J25" i="52"/>
  <c r="R27" i="52"/>
  <c r="J29" i="52"/>
  <c r="R31" i="52"/>
  <c r="J33" i="52"/>
  <c r="N12" i="53"/>
  <c r="D16" i="55"/>
  <c r="T16" i="55"/>
  <c r="X16" i="55" s="1"/>
  <c r="R19" i="55"/>
  <c r="F21" i="55"/>
  <c r="R22" i="55"/>
  <c r="J23" i="55"/>
  <c r="R29" i="55"/>
  <c r="J31" i="55"/>
  <c r="F16" i="56"/>
  <c r="V16" i="56"/>
  <c r="J22" i="56"/>
  <c r="F23" i="56"/>
  <c r="V26" i="56"/>
  <c r="R27" i="56"/>
  <c r="V30" i="56"/>
  <c r="R31" i="56"/>
  <c r="J34" i="56"/>
  <c r="F35" i="56"/>
  <c r="V38" i="56"/>
  <c r="R39" i="56"/>
  <c r="J40" i="56"/>
  <c r="F43" i="56"/>
  <c r="R44" i="56"/>
  <c r="F46" i="56"/>
  <c r="V46" i="56"/>
  <c r="R47" i="56"/>
  <c r="J48" i="56"/>
  <c r="F51" i="56"/>
  <c r="R52" i="56"/>
  <c r="J54" i="56"/>
  <c r="V58" i="56"/>
  <c r="R59" i="56"/>
  <c r="J60" i="56"/>
  <c r="R66" i="56"/>
  <c r="J68" i="56"/>
  <c r="V72" i="57"/>
  <c r="V67" i="57"/>
  <c r="V65" i="57"/>
  <c r="V61" i="57"/>
  <c r="V53" i="57"/>
  <c r="V59" i="57"/>
  <c r="F16" i="57"/>
  <c r="V16" i="57"/>
  <c r="J22" i="57"/>
  <c r="F23" i="57"/>
  <c r="V26" i="57"/>
  <c r="R27" i="57"/>
  <c r="V30" i="57"/>
  <c r="R31" i="57"/>
  <c r="J34" i="57"/>
  <c r="F35" i="57"/>
  <c r="V38" i="57"/>
  <c r="R39" i="57"/>
  <c r="J40" i="57"/>
  <c r="F43" i="57"/>
  <c r="R44" i="57"/>
  <c r="F46" i="57"/>
  <c r="V46" i="57"/>
  <c r="R47" i="57"/>
  <c r="J48" i="57"/>
  <c r="J53" i="57"/>
  <c r="F54" i="57"/>
  <c r="V55" i="57"/>
  <c r="F57" i="57"/>
  <c r="R59" i="57"/>
  <c r="J61" i="57"/>
  <c r="J67" i="57"/>
  <c r="J65" i="58"/>
  <c r="J61" i="58"/>
  <c r="J51" i="58"/>
  <c r="J43" i="58"/>
  <c r="J33" i="58"/>
  <c r="J29" i="58"/>
  <c r="J21" i="58"/>
  <c r="J78" i="58"/>
  <c r="J72" i="58"/>
  <c r="J68" i="58"/>
  <c r="J64" i="58"/>
  <c r="J48" i="58"/>
  <c r="J40" i="58"/>
  <c r="J32" i="58"/>
  <c r="J28" i="58"/>
  <c r="J20" i="58"/>
  <c r="J18" i="58"/>
  <c r="J14" i="58"/>
  <c r="N12" i="58"/>
  <c r="J63" i="58"/>
  <c r="J57" i="58"/>
  <c r="J53" i="58"/>
  <c r="J45" i="58"/>
  <c r="J39" i="58"/>
  <c r="J76" i="58"/>
  <c r="J70" i="58"/>
  <c r="J67" i="58"/>
  <c r="J47" i="58"/>
  <c r="J37" i="58"/>
  <c r="J25" i="58"/>
  <c r="J81" i="58"/>
  <c r="J74" i="58"/>
  <c r="J62" i="58"/>
  <c r="J56" i="58"/>
  <c r="J52" i="58"/>
  <c r="J44" i="58"/>
  <c r="J36" i="58"/>
  <c r="J30" i="58"/>
  <c r="J24" i="58"/>
  <c r="J16" i="58"/>
  <c r="J69" i="58"/>
  <c r="J59" i="58"/>
  <c r="J55" i="58"/>
  <c r="J49" i="58"/>
  <c r="J41" i="58"/>
  <c r="J35" i="58"/>
  <c r="J23" i="58"/>
  <c r="H16" i="58"/>
  <c r="J66" i="58"/>
  <c r="J58" i="58"/>
  <c r="J54" i="58"/>
  <c r="J46" i="58"/>
  <c r="J34" i="58"/>
  <c r="J22" i="58"/>
  <c r="P74" i="58"/>
  <c r="X18" i="58"/>
  <c r="Z18" i="58" s="1"/>
  <c r="J26" i="58"/>
  <c r="F31" i="58"/>
  <c r="N53" i="58"/>
  <c r="V16" i="58"/>
  <c r="V26" i="58"/>
  <c r="V30" i="58"/>
  <c r="R31" i="58"/>
  <c r="V38" i="58"/>
  <c r="R39" i="58"/>
  <c r="V42" i="58"/>
  <c r="V50" i="58"/>
  <c r="R60" i="58"/>
  <c r="V62" i="58"/>
  <c r="R63" i="58"/>
  <c r="V70" i="58"/>
  <c r="V74" i="58"/>
  <c r="V76" i="58"/>
  <c r="V81" i="58"/>
  <c r="R16" i="59"/>
  <c r="F21" i="59"/>
  <c r="V24" i="59"/>
  <c r="R25" i="59"/>
  <c r="F33" i="59"/>
  <c r="V36" i="59"/>
  <c r="R37" i="59"/>
  <c r="R42" i="59"/>
  <c r="R43" i="59"/>
  <c r="R47" i="59"/>
  <c r="F50" i="59"/>
  <c r="N18" i="60"/>
  <c r="X19" i="60"/>
  <c r="Z19" i="60" s="1"/>
  <c r="R38" i="60"/>
  <c r="R39" i="60"/>
  <c r="Z53" i="60"/>
  <c r="R60" i="60"/>
  <c r="X16" i="61"/>
  <c r="P57" i="61"/>
  <c r="T100" i="62"/>
  <c r="J74" i="62"/>
  <c r="J98" i="62"/>
  <c r="J65" i="63"/>
  <c r="J76" i="63"/>
  <c r="V19" i="58"/>
  <c r="V27" i="58"/>
  <c r="R28" i="58"/>
  <c r="V31" i="58"/>
  <c r="R32" i="58"/>
  <c r="V39" i="58"/>
  <c r="R40" i="58"/>
  <c r="R45" i="58"/>
  <c r="V47" i="58"/>
  <c r="R48" i="58"/>
  <c r="R53" i="58"/>
  <c r="R57" i="58"/>
  <c r="V63" i="58"/>
  <c r="R64" i="58"/>
  <c r="V67" i="58"/>
  <c r="R68" i="58"/>
  <c r="R67" i="59"/>
  <c r="R60" i="59"/>
  <c r="R55" i="59"/>
  <c r="R52" i="59"/>
  <c r="R39" i="59"/>
  <c r="R54" i="59"/>
  <c r="R44" i="59"/>
  <c r="R53" i="59"/>
  <c r="R49" i="59"/>
  <c r="D16" i="59"/>
  <c r="T16" i="59"/>
  <c r="R19" i="59"/>
  <c r="F22" i="59"/>
  <c r="V25" i="59"/>
  <c r="R26" i="59"/>
  <c r="F29" i="59"/>
  <c r="V29" i="59"/>
  <c r="R30" i="59"/>
  <c r="F34" i="59"/>
  <c r="V37" i="59"/>
  <c r="R38" i="59"/>
  <c r="F41" i="59"/>
  <c r="Z42" i="59"/>
  <c r="V43" i="59"/>
  <c r="R51" i="59"/>
  <c r="R58" i="59"/>
  <c r="P16" i="60"/>
  <c r="R19" i="60"/>
  <c r="R26" i="60"/>
  <c r="R27" i="60"/>
  <c r="N49" i="60"/>
  <c r="V53" i="60"/>
  <c r="D62" i="60"/>
  <c r="V60" i="60"/>
  <c r="L42" i="61"/>
  <c r="N19" i="62"/>
  <c r="Z43" i="62"/>
  <c r="Z47" i="62"/>
  <c r="J66" i="62"/>
  <c r="Z92" i="62"/>
  <c r="D92" i="62"/>
  <c r="L92" i="62" s="1"/>
  <c r="L94" i="62"/>
  <c r="Z41" i="63"/>
  <c r="V41" i="63"/>
  <c r="V28" i="58"/>
  <c r="V32" i="58"/>
  <c r="V40" i="58"/>
  <c r="V48" i="58"/>
  <c r="V60" i="58"/>
  <c r="R61" i="58"/>
  <c r="V64" i="58"/>
  <c r="R65" i="58"/>
  <c r="V68" i="58"/>
  <c r="R72" i="58"/>
  <c r="R78" i="58"/>
  <c r="V54" i="59"/>
  <c r="V64" i="59"/>
  <c r="V58" i="59"/>
  <c r="V44" i="59"/>
  <c r="V51" i="59"/>
  <c r="V67" i="59"/>
  <c r="V62" i="59"/>
  <c r="V60" i="59"/>
  <c r="V56" i="59"/>
  <c r="V52" i="59"/>
  <c r="V48" i="59"/>
  <c r="F16" i="59"/>
  <c r="V16" i="59"/>
  <c r="F23" i="59"/>
  <c r="V26" i="59"/>
  <c r="R27" i="59"/>
  <c r="V30" i="59"/>
  <c r="R31" i="59"/>
  <c r="F35" i="59"/>
  <c r="V38" i="59"/>
  <c r="V39" i="59"/>
  <c r="V42" i="59"/>
  <c r="V47" i="59"/>
  <c r="R50" i="59"/>
  <c r="F55" i="59"/>
  <c r="R56" i="59"/>
  <c r="R50" i="60"/>
  <c r="R51" i="60"/>
  <c r="X52" i="61"/>
  <c r="L45" i="62"/>
  <c r="N45" i="62" s="1"/>
  <c r="J50" i="62"/>
  <c r="J58" i="62"/>
  <c r="L87" i="62"/>
  <c r="N87" i="62" s="1"/>
  <c r="J94" i="62"/>
  <c r="F33" i="64"/>
  <c r="F27" i="64"/>
  <c r="F16" i="64"/>
  <c r="F21" i="64"/>
  <c r="D16" i="64"/>
  <c r="F38" i="64"/>
  <c r="F31" i="64"/>
  <c r="F23" i="64"/>
  <c r="F20" i="64"/>
  <c r="L12" i="64"/>
  <c r="F25" i="64"/>
  <c r="F35" i="64"/>
  <c r="F29" i="64"/>
  <c r="F24" i="64"/>
  <c r="F19" i="64"/>
  <c r="F22" i="64"/>
  <c r="F18" i="64"/>
  <c r="F14" i="64"/>
  <c r="V33" i="58"/>
  <c r="V45" i="58"/>
  <c r="R46" i="58"/>
  <c r="R51" i="58"/>
  <c r="V53" i="58"/>
  <c r="R54" i="58"/>
  <c r="V57" i="58"/>
  <c r="R58" i="58"/>
  <c r="V61" i="58"/>
  <c r="V65" i="58"/>
  <c r="R66" i="58"/>
  <c r="F19" i="59"/>
  <c r="V19" i="59"/>
  <c r="F24" i="59"/>
  <c r="V27" i="59"/>
  <c r="R28" i="59"/>
  <c r="V31" i="59"/>
  <c r="R32" i="59"/>
  <c r="F36" i="59"/>
  <c r="F42" i="59"/>
  <c r="F45" i="59"/>
  <c r="F47" i="59"/>
  <c r="V50" i="59"/>
  <c r="R62" i="59"/>
  <c r="J67" i="59"/>
  <c r="L42" i="60"/>
  <c r="N42" i="60" s="1"/>
  <c r="R49" i="60"/>
  <c r="N18" i="61"/>
  <c r="Z52" i="61"/>
  <c r="J64" i="62"/>
  <c r="J79" i="62"/>
  <c r="Z89" i="62"/>
  <c r="J70" i="63"/>
  <c r="J64" i="63"/>
  <c r="J58" i="63"/>
  <c r="J48" i="63"/>
  <c r="J36" i="63"/>
  <c r="H29" i="63"/>
  <c r="J20" i="63"/>
  <c r="J77" i="63"/>
  <c r="J73" i="63"/>
  <c r="J61" i="63"/>
  <c r="J55" i="63"/>
  <c r="J47" i="63"/>
  <c r="J41" i="63"/>
  <c r="J35" i="63"/>
  <c r="J27" i="63"/>
  <c r="J19" i="63"/>
  <c r="J66" i="63"/>
  <c r="J52" i="63"/>
  <c r="J46" i="63"/>
  <c r="J34" i="63"/>
  <c r="J26" i="63"/>
  <c r="J69" i="63"/>
  <c r="J63" i="63"/>
  <c r="J57" i="63"/>
  <c r="J45" i="63"/>
  <c r="J33" i="63"/>
  <c r="J31" i="63"/>
  <c r="J25" i="63"/>
  <c r="J84" i="63"/>
  <c r="J78" i="63"/>
  <c r="J74" i="63"/>
  <c r="J62" i="63"/>
  <c r="J56" i="63"/>
  <c r="J50" i="63"/>
  <c r="J42" i="63"/>
  <c r="J38" i="63"/>
  <c r="J32" i="63"/>
  <c r="J67" i="63"/>
  <c r="J53" i="63"/>
  <c r="J49" i="63"/>
  <c r="J37" i="63"/>
  <c r="J68" i="63"/>
  <c r="J59" i="63"/>
  <c r="J60" i="63"/>
  <c r="J54" i="63"/>
  <c r="J29" i="63"/>
  <c r="J24" i="63"/>
  <c r="J23" i="63"/>
  <c r="J22" i="63"/>
  <c r="J18" i="63"/>
  <c r="J17" i="63"/>
  <c r="J72" i="63"/>
  <c r="J51" i="63"/>
  <c r="J44" i="63"/>
  <c r="J40" i="63"/>
  <c r="J39" i="63"/>
  <c r="J75" i="63"/>
  <c r="F26" i="64"/>
  <c r="V72" i="58"/>
  <c r="V78" i="58"/>
  <c r="Z12" i="59"/>
  <c r="R14" i="59"/>
  <c r="R18" i="59"/>
  <c r="V20" i="59"/>
  <c r="R21" i="59"/>
  <c r="F25" i="59"/>
  <c r="V28" i="59"/>
  <c r="V32" i="59"/>
  <c r="R33" i="59"/>
  <c r="F37" i="59"/>
  <c r="R40" i="59"/>
  <c r="N42" i="59"/>
  <c r="H60" i="59"/>
  <c r="N29" i="60"/>
  <c r="R36" i="60"/>
  <c r="L40" i="60"/>
  <c r="V43" i="60"/>
  <c r="T58" i="60"/>
  <c r="Z29" i="61"/>
  <c r="F55" i="61"/>
  <c r="J44" i="62"/>
  <c r="J56" i="62"/>
  <c r="X83" i="62"/>
  <c r="Z83" i="62" s="1"/>
  <c r="J21" i="63"/>
  <c r="V51" i="58"/>
  <c r="V55" i="58"/>
  <c r="V59" i="58"/>
  <c r="R69" i="58"/>
  <c r="F54" i="59"/>
  <c r="F51" i="59"/>
  <c r="F43" i="59"/>
  <c r="F64" i="59"/>
  <c r="F58" i="59"/>
  <c r="F53" i="59"/>
  <c r="F49" i="59"/>
  <c r="F62" i="59"/>
  <c r="F56" i="59"/>
  <c r="F48" i="59"/>
  <c r="F67" i="59"/>
  <c r="F60" i="59"/>
  <c r="F52" i="59"/>
  <c r="F26" i="59"/>
  <c r="F30" i="59"/>
  <c r="V33" i="59"/>
  <c r="F38" i="59"/>
  <c r="R41" i="59"/>
  <c r="F44" i="59"/>
  <c r="V49" i="59"/>
  <c r="V55" i="59"/>
  <c r="R43" i="60"/>
  <c r="R40" i="60"/>
  <c r="R35" i="60"/>
  <c r="R23" i="60"/>
  <c r="R46" i="60"/>
  <c r="R34" i="60"/>
  <c r="R22" i="60"/>
  <c r="R62" i="60"/>
  <c r="R56" i="60"/>
  <c r="R45" i="60"/>
  <c r="R42" i="60"/>
  <c r="R33" i="60"/>
  <c r="R21" i="60"/>
  <c r="R18" i="60"/>
  <c r="R14" i="60"/>
  <c r="R52" i="60"/>
  <c r="R48" i="60"/>
  <c r="R32" i="60"/>
  <c r="R28" i="60"/>
  <c r="R20" i="60"/>
  <c r="X12" i="60"/>
  <c r="R65" i="60"/>
  <c r="R58" i="60"/>
  <c r="R41" i="60"/>
  <c r="R37" i="60"/>
  <c r="R25" i="60"/>
  <c r="R16" i="60"/>
  <c r="R30" i="60"/>
  <c r="R31" i="60"/>
  <c r="N40" i="60"/>
  <c r="N53" i="60"/>
  <c r="R54" i="60"/>
  <c r="Z42" i="61"/>
  <c r="Z45" i="62"/>
  <c r="J75" i="62"/>
  <c r="X14" i="63"/>
  <c r="Z14" i="63" s="1"/>
  <c r="P12" i="63"/>
  <c r="N17" i="63"/>
  <c r="L17" i="63"/>
  <c r="J71" i="63"/>
  <c r="R16" i="58"/>
  <c r="V24" i="58"/>
  <c r="R25" i="58"/>
  <c r="R30" i="58"/>
  <c r="V36" i="58"/>
  <c r="R37" i="58"/>
  <c r="V44" i="58"/>
  <c r="V52" i="58"/>
  <c r="V56" i="58"/>
  <c r="R62" i="58"/>
  <c r="R74" i="58"/>
  <c r="R81" i="58"/>
  <c r="J64" i="59"/>
  <c r="J58" i="59"/>
  <c r="J50" i="59"/>
  <c r="J46" i="59"/>
  <c r="J40" i="59"/>
  <c r="J53" i="59"/>
  <c r="J62" i="59"/>
  <c r="J56" i="59"/>
  <c r="J48" i="59"/>
  <c r="J55" i="59"/>
  <c r="J45" i="59"/>
  <c r="J54" i="59"/>
  <c r="J44" i="59"/>
  <c r="F14" i="59"/>
  <c r="V14" i="59"/>
  <c r="F18" i="59"/>
  <c r="V18" i="59"/>
  <c r="V22" i="59"/>
  <c r="R23" i="59"/>
  <c r="J26" i="59"/>
  <c r="F27" i="59"/>
  <c r="J30" i="59"/>
  <c r="F31" i="59"/>
  <c r="V34" i="59"/>
  <c r="R35" i="59"/>
  <c r="J38" i="59"/>
  <c r="F39" i="59"/>
  <c r="V40" i="59"/>
  <c r="V41" i="59"/>
  <c r="R46" i="59"/>
  <c r="R48" i="59"/>
  <c r="J51" i="59"/>
  <c r="N52" i="59"/>
  <c r="V62" i="60"/>
  <c r="V56" i="60"/>
  <c r="V46" i="60"/>
  <c r="V42" i="60"/>
  <c r="V34" i="60"/>
  <c r="V22" i="60"/>
  <c r="V18" i="60"/>
  <c r="V14" i="60"/>
  <c r="V45" i="60"/>
  <c r="V33" i="60"/>
  <c r="V21" i="60"/>
  <c r="V52" i="60"/>
  <c r="V48" i="60"/>
  <c r="V44" i="60"/>
  <c r="V32" i="60"/>
  <c r="V28" i="60"/>
  <c r="V20" i="60"/>
  <c r="Z12" i="60"/>
  <c r="V51" i="60"/>
  <c r="V47" i="60"/>
  <c r="V39" i="60"/>
  <c r="V31" i="60"/>
  <c r="V27" i="60"/>
  <c r="V19" i="60"/>
  <c r="V40" i="60"/>
  <c r="V36" i="60"/>
  <c r="V24" i="60"/>
  <c r="R24" i="60"/>
  <c r="R29" i="60"/>
  <c r="V30" i="60"/>
  <c r="V35" i="60"/>
  <c r="V41" i="60"/>
  <c r="X47" i="60"/>
  <c r="Z47" i="60" s="1"/>
  <c r="V54" i="60"/>
  <c r="X42" i="61"/>
  <c r="J103" i="62"/>
  <c r="J96" i="62"/>
  <c r="J86" i="62"/>
  <c r="J78" i="62"/>
  <c r="J83" i="62"/>
  <c r="J77" i="62"/>
  <c r="J71" i="62"/>
  <c r="J92" i="62"/>
  <c r="J90" i="62"/>
  <c r="J63" i="62"/>
  <c r="J55" i="62"/>
  <c r="J41" i="62"/>
  <c r="J35" i="62"/>
  <c r="J23" i="62"/>
  <c r="H16" i="62"/>
  <c r="J89" i="62"/>
  <c r="J73" i="62"/>
  <c r="J72" i="62"/>
  <c r="J60" i="62"/>
  <c r="J52" i="62"/>
  <c r="J46" i="62"/>
  <c r="J34" i="62"/>
  <c r="J22" i="62"/>
  <c r="J88" i="62"/>
  <c r="J84" i="62"/>
  <c r="J70" i="62"/>
  <c r="J69" i="62"/>
  <c r="J65" i="62"/>
  <c r="J57" i="62"/>
  <c r="J49" i="62"/>
  <c r="J43" i="62"/>
  <c r="J33" i="62"/>
  <c r="J29" i="62"/>
  <c r="J21" i="62"/>
  <c r="J82" i="62"/>
  <c r="J81" i="62"/>
  <c r="J68" i="62"/>
  <c r="J62" i="62"/>
  <c r="J54" i="62"/>
  <c r="J48" i="62"/>
  <c r="J40" i="62"/>
  <c r="J32" i="62"/>
  <c r="J28" i="62"/>
  <c r="J20" i="62"/>
  <c r="J18" i="62"/>
  <c r="J14" i="62"/>
  <c r="N12" i="62"/>
  <c r="J100" i="62"/>
  <c r="J87" i="62"/>
  <c r="J80" i="62"/>
  <c r="J67" i="62"/>
  <c r="J59" i="62"/>
  <c r="J51" i="62"/>
  <c r="J45" i="62"/>
  <c r="J39" i="62"/>
  <c r="J31" i="62"/>
  <c r="J27" i="62"/>
  <c r="L12" i="62"/>
  <c r="J93" i="62"/>
  <c r="J61" i="62"/>
  <c r="J53" i="62"/>
  <c r="J47" i="62"/>
  <c r="J37" i="62"/>
  <c r="J25" i="62"/>
  <c r="J19" i="62"/>
  <c r="Z16" i="62"/>
  <c r="J24" i="62"/>
  <c r="X45" i="62"/>
  <c r="N47" i="62"/>
  <c r="J85" i="62"/>
  <c r="L13" i="63"/>
  <c r="N13" i="63" s="1"/>
  <c r="D12" i="63"/>
  <c r="Z31" i="63"/>
  <c r="T16" i="58"/>
  <c r="R19" i="58"/>
  <c r="V25" i="58"/>
  <c r="R26" i="58"/>
  <c r="V37" i="58"/>
  <c r="R38" i="58"/>
  <c r="V41" i="58"/>
  <c r="R42" i="58"/>
  <c r="R47" i="58"/>
  <c r="V49" i="58"/>
  <c r="R50" i="58"/>
  <c r="R67" i="58"/>
  <c r="R70" i="58"/>
  <c r="L12" i="59"/>
  <c r="P16" i="59"/>
  <c r="F20" i="59"/>
  <c r="V23" i="59"/>
  <c r="R24" i="59"/>
  <c r="J27" i="59"/>
  <c r="F28" i="59"/>
  <c r="R29" i="59"/>
  <c r="J31" i="59"/>
  <c r="F32" i="59"/>
  <c r="V35" i="59"/>
  <c r="R36" i="59"/>
  <c r="J39" i="59"/>
  <c r="F40" i="59"/>
  <c r="R45" i="59"/>
  <c r="V46" i="59"/>
  <c r="J52" i="59"/>
  <c r="V53" i="59"/>
  <c r="Z54" i="59"/>
  <c r="L16" i="60"/>
  <c r="Z29" i="60"/>
  <c r="R47" i="60"/>
  <c r="L49" i="60"/>
  <c r="R53" i="60"/>
  <c r="F59" i="61"/>
  <c r="F53" i="61"/>
  <c r="F44" i="61"/>
  <c r="F41" i="61"/>
  <c r="F37" i="61"/>
  <c r="F25" i="61"/>
  <c r="F47" i="61"/>
  <c r="F36" i="61"/>
  <c r="F24" i="61"/>
  <c r="F19" i="61"/>
  <c r="F43" i="61"/>
  <c r="F35" i="61"/>
  <c r="F23" i="61"/>
  <c r="F16" i="61"/>
  <c r="F64" i="61"/>
  <c r="F57" i="61"/>
  <c r="F49" i="61"/>
  <c r="F46" i="61"/>
  <c r="F34" i="61"/>
  <c r="F29" i="61"/>
  <c r="F22" i="61"/>
  <c r="D16" i="61"/>
  <c r="F52" i="61"/>
  <c r="F45" i="61"/>
  <c r="F40" i="61"/>
  <c r="F51" i="61"/>
  <c r="F42" i="61"/>
  <c r="F39" i="61"/>
  <c r="F31" i="61"/>
  <c r="F27" i="61"/>
  <c r="F18" i="61"/>
  <c r="F14" i="61"/>
  <c r="X40" i="61"/>
  <c r="Z40" i="61" s="1"/>
  <c r="L44" i="61"/>
  <c r="N44" i="61" s="1"/>
  <c r="J42" i="62"/>
  <c r="L47" i="62"/>
  <c r="J80" i="63"/>
  <c r="F21" i="60"/>
  <c r="J28" i="60"/>
  <c r="J32" i="60"/>
  <c r="F33" i="60"/>
  <c r="F40" i="60"/>
  <c r="J42" i="60"/>
  <c r="F45" i="60"/>
  <c r="J48" i="60"/>
  <c r="J52" i="60"/>
  <c r="J56" i="60"/>
  <c r="J62" i="60"/>
  <c r="J26" i="61"/>
  <c r="J30" i="61"/>
  <c r="V34" i="61"/>
  <c r="J38" i="61"/>
  <c r="R40" i="61"/>
  <c r="V42" i="61"/>
  <c r="R43" i="61"/>
  <c r="J44" i="61"/>
  <c r="V46" i="61"/>
  <c r="J50" i="61"/>
  <c r="R52" i="61"/>
  <c r="F79" i="62"/>
  <c r="F75" i="62"/>
  <c r="F89" i="62"/>
  <c r="F86" i="62"/>
  <c r="F78" i="62"/>
  <c r="V21" i="62"/>
  <c r="R22" i="62"/>
  <c r="F26" i="62"/>
  <c r="V29" i="62"/>
  <c r="V33" i="62"/>
  <c r="R34" i="62"/>
  <c r="F38" i="62"/>
  <c r="F42" i="62"/>
  <c r="R43" i="62"/>
  <c r="F45" i="62"/>
  <c r="V45" i="62"/>
  <c r="R46" i="62"/>
  <c r="V49" i="62"/>
  <c r="V57" i="62"/>
  <c r="V65" i="62"/>
  <c r="Z71" i="62"/>
  <c r="R72" i="62"/>
  <c r="R73" i="62"/>
  <c r="V83" i="62"/>
  <c r="V84" i="62"/>
  <c r="F87" i="62"/>
  <c r="X89" i="62"/>
  <c r="R92" i="62"/>
  <c r="F94" i="62"/>
  <c r="F98" i="62"/>
  <c r="F100" i="62"/>
  <c r="F103" i="62"/>
  <c r="T86" i="63"/>
  <c r="N52" i="63"/>
  <c r="X73" i="63"/>
  <c r="Z73" i="63" s="1"/>
  <c r="Z77" i="63"/>
  <c r="Z33" i="65"/>
  <c r="Z63" i="65"/>
  <c r="F68" i="62"/>
  <c r="R75" i="62"/>
  <c r="F77" i="62"/>
  <c r="F81" i="62"/>
  <c r="F82" i="62"/>
  <c r="F83" i="62"/>
  <c r="R85" i="62"/>
  <c r="R86" i="62"/>
  <c r="V92" i="62"/>
  <c r="F96" i="62"/>
  <c r="Z52" i="63"/>
  <c r="J38" i="64"/>
  <c r="J31" i="64"/>
  <c r="J23" i="64"/>
  <c r="J26" i="64"/>
  <c r="J20" i="64"/>
  <c r="J18" i="64"/>
  <c r="J14" i="64"/>
  <c r="N12" i="64"/>
  <c r="J35" i="64"/>
  <c r="J24" i="64"/>
  <c r="J16" i="64"/>
  <c r="J33" i="64"/>
  <c r="J27" i="64"/>
  <c r="J21" i="64"/>
  <c r="H16" i="64"/>
  <c r="P31" i="64"/>
  <c r="N76" i="65"/>
  <c r="H16" i="60"/>
  <c r="F19" i="60"/>
  <c r="J23" i="60"/>
  <c r="F24" i="60"/>
  <c r="J29" i="60"/>
  <c r="J35" i="60"/>
  <c r="F36" i="60"/>
  <c r="J43" i="60"/>
  <c r="F47" i="60"/>
  <c r="J49" i="60"/>
  <c r="J53" i="60"/>
  <c r="T16" i="61"/>
  <c r="R19" i="61"/>
  <c r="J21" i="61"/>
  <c r="V25" i="61"/>
  <c r="R26" i="61"/>
  <c r="V29" i="61"/>
  <c r="R30" i="61"/>
  <c r="J33" i="61"/>
  <c r="V37" i="61"/>
  <c r="R38" i="61"/>
  <c r="V41" i="61"/>
  <c r="J45" i="61"/>
  <c r="R47" i="61"/>
  <c r="V49" i="61"/>
  <c r="R50" i="61"/>
  <c r="V53" i="61"/>
  <c r="V57" i="61"/>
  <c r="V59" i="61"/>
  <c r="V64" i="61"/>
  <c r="Z14" i="62"/>
  <c r="R16" i="62"/>
  <c r="F21" i="62"/>
  <c r="V24" i="62"/>
  <c r="R25" i="62"/>
  <c r="F29" i="62"/>
  <c r="R30" i="62"/>
  <c r="F33" i="62"/>
  <c r="V36" i="62"/>
  <c r="R37" i="62"/>
  <c r="V44" i="62"/>
  <c r="F49" i="62"/>
  <c r="R50" i="62"/>
  <c r="F52" i="62"/>
  <c r="V52" i="62"/>
  <c r="R53" i="62"/>
  <c r="F57" i="62"/>
  <c r="R58" i="62"/>
  <c r="F60" i="62"/>
  <c r="V60" i="62"/>
  <c r="R61" i="62"/>
  <c r="F65" i="62"/>
  <c r="F69" i="62"/>
  <c r="F70" i="62"/>
  <c r="F71" i="62"/>
  <c r="V74" i="62"/>
  <c r="V75" i="62"/>
  <c r="F84" i="62"/>
  <c r="V86" i="62"/>
  <c r="F88" i="62"/>
  <c r="V52" i="63"/>
  <c r="N54" i="63"/>
  <c r="N18" i="64"/>
  <c r="J19" i="64"/>
  <c r="X26" i="64"/>
  <c r="N18" i="67"/>
  <c r="J16" i="60"/>
  <c r="J24" i="60"/>
  <c r="F25" i="60"/>
  <c r="J36" i="60"/>
  <c r="F37" i="60"/>
  <c r="F41" i="60"/>
  <c r="F44" i="60"/>
  <c r="J58" i="60"/>
  <c r="J65" i="60"/>
  <c r="V16" i="61"/>
  <c r="J22" i="61"/>
  <c r="V26" i="61"/>
  <c r="V30" i="61"/>
  <c r="R31" i="61"/>
  <c r="J34" i="61"/>
  <c r="V38" i="61"/>
  <c r="R39" i="61"/>
  <c r="J40" i="61"/>
  <c r="R44" i="61"/>
  <c r="J46" i="61"/>
  <c r="V50" i="61"/>
  <c r="R51" i="61"/>
  <c r="J52" i="61"/>
  <c r="R100" i="62"/>
  <c r="R76" i="62"/>
  <c r="R90" i="62"/>
  <c r="R87" i="62"/>
  <c r="R82" i="62"/>
  <c r="R70" i="62"/>
  <c r="R98" i="62"/>
  <c r="D16" i="62"/>
  <c r="R19" i="62"/>
  <c r="F22" i="62"/>
  <c r="R26" i="62"/>
  <c r="F34" i="62"/>
  <c r="V37" i="62"/>
  <c r="R38" i="62"/>
  <c r="F41" i="62"/>
  <c r="V41" i="62"/>
  <c r="R42" i="62"/>
  <c r="F46" i="62"/>
  <c r="R47" i="62"/>
  <c r="X52" i="62"/>
  <c r="Z52" i="62" s="1"/>
  <c r="V53" i="62"/>
  <c r="L54" i="62"/>
  <c r="N54" i="62" s="1"/>
  <c r="X60" i="62"/>
  <c r="Z60" i="62" s="1"/>
  <c r="V61" i="62"/>
  <c r="L62" i="62"/>
  <c r="N62" i="62" s="1"/>
  <c r="F72" i="62"/>
  <c r="F73" i="62"/>
  <c r="X74" i="62"/>
  <c r="Z74" i="62" s="1"/>
  <c r="R78" i="62"/>
  <c r="R79" i="62"/>
  <c r="V85" i="62"/>
  <c r="F92" i="62"/>
  <c r="R93" i="62"/>
  <c r="R103" i="62"/>
  <c r="N31" i="63"/>
  <c r="X18" i="64"/>
  <c r="J22" i="64"/>
  <c r="T93" i="65"/>
  <c r="F104" i="67"/>
  <c r="F98" i="67"/>
  <c r="F95" i="67"/>
  <c r="F91" i="67"/>
  <c r="F87" i="67"/>
  <c r="F83" i="67"/>
  <c r="F78" i="67"/>
  <c r="F75" i="67"/>
  <c r="F59" i="67"/>
  <c r="F47" i="67"/>
  <c r="F42" i="67"/>
  <c r="F31" i="67"/>
  <c r="F23" i="67"/>
  <c r="F18" i="67"/>
  <c r="F94" i="67"/>
  <c r="F90" i="67"/>
  <c r="F86" i="67"/>
  <c r="F74" i="67"/>
  <c r="F69" i="67"/>
  <c r="F66" i="67"/>
  <c r="F58" i="67"/>
  <c r="F46" i="67"/>
  <c r="F30" i="67"/>
  <c r="F22" i="67"/>
  <c r="F97" i="67"/>
  <c r="F93" i="67"/>
  <c r="F80" i="67"/>
  <c r="F77" i="67"/>
  <c r="F57" i="67"/>
  <c r="F52" i="67"/>
  <c r="F45" i="67"/>
  <c r="D39" i="67"/>
  <c r="F39" i="67" s="1"/>
  <c r="F37" i="67"/>
  <c r="F29" i="67"/>
  <c r="F21" i="67"/>
  <c r="F108" i="67"/>
  <c r="F103" i="67"/>
  <c r="F99" i="67"/>
  <c r="F82" i="67"/>
  <c r="F79" i="67"/>
  <c r="F55" i="67"/>
  <c r="F51" i="67"/>
  <c r="F43" i="67"/>
  <c r="F102" i="67"/>
  <c r="F96" i="67"/>
  <c r="F92" i="67"/>
  <c r="F81" i="67"/>
  <c r="F76" i="67"/>
  <c r="F61" i="67"/>
  <c r="F53" i="67"/>
  <c r="F49" i="67"/>
  <c r="F33" i="67"/>
  <c r="F25" i="67"/>
  <c r="F72" i="67"/>
  <c r="F71" i="67"/>
  <c r="F62" i="67"/>
  <c r="F32" i="67"/>
  <c r="L12" i="67"/>
  <c r="F85" i="67"/>
  <c r="F84" i="67"/>
  <c r="F67" i="67"/>
  <c r="F64" i="67"/>
  <c r="F63" i="67"/>
  <c r="F54" i="67"/>
  <c r="F24" i="67"/>
  <c r="F73" i="67"/>
  <c r="F44" i="67"/>
  <c r="F41" i="67"/>
  <c r="F65" i="67"/>
  <c r="F34" i="67"/>
  <c r="F48" i="67"/>
  <c r="F36" i="67"/>
  <c r="F35" i="67"/>
  <c r="F26" i="67"/>
  <c r="F89" i="67"/>
  <c r="F88" i="67"/>
  <c r="F60" i="67"/>
  <c r="F28" i="67"/>
  <c r="F27" i="67"/>
  <c r="F19" i="67"/>
  <c r="F56" i="67"/>
  <c r="F20" i="67"/>
  <c r="F70" i="67"/>
  <c r="F68" i="67"/>
  <c r="F50" i="67"/>
  <c r="J19" i="60"/>
  <c r="J25" i="60"/>
  <c r="F26" i="60"/>
  <c r="F30" i="60"/>
  <c r="J37" i="60"/>
  <c r="F38" i="60"/>
  <c r="J41" i="60"/>
  <c r="J47" i="60"/>
  <c r="F50" i="60"/>
  <c r="F54" i="60"/>
  <c r="F60" i="60"/>
  <c r="X12" i="61"/>
  <c r="H16" i="61"/>
  <c r="V19" i="61"/>
  <c r="R20" i="61"/>
  <c r="J23" i="61"/>
  <c r="V27" i="61"/>
  <c r="R28" i="61"/>
  <c r="J29" i="61"/>
  <c r="V31" i="61"/>
  <c r="R32" i="61"/>
  <c r="J35" i="61"/>
  <c r="V39" i="61"/>
  <c r="J43" i="61"/>
  <c r="V47" i="61"/>
  <c r="R48" i="61"/>
  <c r="J49" i="61"/>
  <c r="V51" i="61"/>
  <c r="R55" i="61"/>
  <c r="J57" i="61"/>
  <c r="R61" i="61"/>
  <c r="J64" i="61"/>
  <c r="V90" i="62"/>
  <c r="V82" i="62"/>
  <c r="V70" i="62"/>
  <c r="V93" i="62"/>
  <c r="V89" i="62"/>
  <c r="V81" i="62"/>
  <c r="V73" i="62"/>
  <c r="V69" i="62"/>
  <c r="F16" i="62"/>
  <c r="V16" i="62"/>
  <c r="F23" i="62"/>
  <c r="V26" i="62"/>
  <c r="R27" i="62"/>
  <c r="F30" i="62"/>
  <c r="V30" i="62"/>
  <c r="R31" i="62"/>
  <c r="F35" i="62"/>
  <c r="V38" i="62"/>
  <c r="R39" i="62"/>
  <c r="V42" i="62"/>
  <c r="F50" i="62"/>
  <c r="V50" i="62"/>
  <c r="R51" i="62"/>
  <c r="F55" i="62"/>
  <c r="R56" i="62"/>
  <c r="F58" i="62"/>
  <c r="V58" i="62"/>
  <c r="R59" i="62"/>
  <c r="F63" i="62"/>
  <c r="R64" i="62"/>
  <c r="F66" i="62"/>
  <c r="V66" i="62"/>
  <c r="R67" i="62"/>
  <c r="F74" i="62"/>
  <c r="R77" i="62"/>
  <c r="V78" i="62"/>
  <c r="V79" i="62"/>
  <c r="R80" i="62"/>
  <c r="F85" i="62"/>
  <c r="F90" i="62"/>
  <c r="N92" i="62"/>
  <c r="R94" i="62"/>
  <c r="P96" i="62"/>
  <c r="V100" i="62"/>
  <c r="V103" i="62"/>
  <c r="X61" i="63"/>
  <c r="L80" i="63"/>
  <c r="X23" i="64"/>
  <c r="R83" i="65"/>
  <c r="R76" i="65"/>
  <c r="R88" i="65"/>
  <c r="R72" i="65"/>
  <c r="R68" i="65"/>
  <c r="R65" i="65"/>
  <c r="R60" i="65"/>
  <c r="R57" i="65"/>
  <c r="R48" i="65"/>
  <c r="R36" i="65"/>
  <c r="R28" i="65"/>
  <c r="R20" i="65"/>
  <c r="X12" i="65"/>
  <c r="Z12" i="65" s="1"/>
  <c r="R47" i="65"/>
  <c r="R43" i="65"/>
  <c r="R35" i="65"/>
  <c r="R32" i="65"/>
  <c r="R27" i="65"/>
  <c r="R19" i="65"/>
  <c r="R71" i="65"/>
  <c r="R67" i="65"/>
  <c r="R62" i="65"/>
  <c r="R59" i="65"/>
  <c r="R54" i="65"/>
  <c r="R46" i="65"/>
  <c r="R42" i="65"/>
  <c r="R34" i="65"/>
  <c r="R26" i="65"/>
  <c r="R75" i="65"/>
  <c r="R74" i="65"/>
  <c r="R53" i="65"/>
  <c r="R45" i="65"/>
  <c r="R41" i="65"/>
  <c r="R25" i="65"/>
  <c r="R18" i="65"/>
  <c r="R73" i="65"/>
  <c r="R64" i="65"/>
  <c r="R61" i="65"/>
  <c r="R56" i="65"/>
  <c r="R52" i="65"/>
  <c r="R40" i="65"/>
  <c r="R33" i="65"/>
  <c r="R24" i="65"/>
  <c r="R84" i="65"/>
  <c r="R82" i="65"/>
  <c r="R51" i="65"/>
  <c r="R44" i="65"/>
  <c r="R39" i="65"/>
  <c r="R23" i="65"/>
  <c r="R81" i="65"/>
  <c r="R80" i="65"/>
  <c r="R77" i="65"/>
  <c r="R70" i="65"/>
  <c r="R66" i="65"/>
  <c r="R63" i="65"/>
  <c r="R58" i="65"/>
  <c r="R55" i="65"/>
  <c r="R50" i="65"/>
  <c r="R38" i="65"/>
  <c r="P30" i="65"/>
  <c r="R22" i="65"/>
  <c r="R78" i="65"/>
  <c r="R69" i="65"/>
  <c r="R49" i="65"/>
  <c r="R37" i="65"/>
  <c r="R21" i="65"/>
  <c r="N57" i="65"/>
  <c r="F14" i="60"/>
  <c r="F18" i="60"/>
  <c r="J26" i="60"/>
  <c r="F27" i="60"/>
  <c r="J30" i="60"/>
  <c r="F31" i="60"/>
  <c r="J38" i="60"/>
  <c r="F39" i="60"/>
  <c r="F42" i="60"/>
  <c r="J44" i="60"/>
  <c r="J50" i="60"/>
  <c r="F51" i="60"/>
  <c r="J54" i="60"/>
  <c r="F56" i="60"/>
  <c r="J16" i="61"/>
  <c r="V20" i="61"/>
  <c r="J24" i="61"/>
  <c r="V28" i="61"/>
  <c r="V32" i="61"/>
  <c r="R33" i="61"/>
  <c r="R42" i="61"/>
  <c r="V44" i="61"/>
  <c r="F19" i="62"/>
  <c r="R20" i="62"/>
  <c r="F24" i="62"/>
  <c r="V27" i="62"/>
  <c r="R28" i="62"/>
  <c r="V31" i="62"/>
  <c r="R32" i="62"/>
  <c r="F36" i="62"/>
  <c r="V39" i="62"/>
  <c r="R40" i="62"/>
  <c r="F44" i="62"/>
  <c r="R45" i="62"/>
  <c r="F47" i="62"/>
  <c r="V47" i="62"/>
  <c r="R48" i="62"/>
  <c r="V51" i="62"/>
  <c r="V59" i="62"/>
  <c r="V67" i="62"/>
  <c r="R68" i="62"/>
  <c r="V76" i="62"/>
  <c r="V77" i="62"/>
  <c r="V80" i="62"/>
  <c r="R81" i="62"/>
  <c r="R83" i="62"/>
  <c r="R88" i="62"/>
  <c r="V94" i="62"/>
  <c r="R96" i="62"/>
  <c r="Z18" i="64"/>
  <c r="V69" i="63"/>
  <c r="J18" i="65"/>
  <c r="J24" i="65"/>
  <c r="J40" i="65"/>
  <c r="J52" i="65"/>
  <c r="J56" i="65"/>
  <c r="J64" i="65"/>
  <c r="V68" i="65"/>
  <c r="V72" i="65"/>
  <c r="V90" i="65"/>
  <c r="J85" i="67"/>
  <c r="J95" i="67"/>
  <c r="L102" i="67"/>
  <c r="D101" i="67"/>
  <c r="L101" i="67" s="1"/>
  <c r="V54" i="63"/>
  <c r="V66" i="63"/>
  <c r="V80" i="63"/>
  <c r="V86" i="63"/>
  <c r="D12" i="65"/>
  <c r="J25" i="65"/>
  <c r="J41" i="65"/>
  <c r="J45" i="65"/>
  <c r="V49" i="65"/>
  <c r="J53" i="65"/>
  <c r="V57" i="65"/>
  <c r="J59" i="65"/>
  <c r="V65" i="65"/>
  <c r="J67" i="65"/>
  <c r="V69" i="65"/>
  <c r="J71" i="65"/>
  <c r="V76" i="65"/>
  <c r="V78" i="65"/>
  <c r="J61" i="67"/>
  <c r="J69" i="67"/>
  <c r="L78" i="67"/>
  <c r="N78" i="67" s="1"/>
  <c r="Z80" i="67"/>
  <c r="L82" i="67"/>
  <c r="J91" i="67"/>
  <c r="N92" i="67"/>
  <c r="N24" i="68"/>
  <c r="L52" i="68"/>
  <c r="N52" i="68" s="1"/>
  <c r="N60" i="68"/>
  <c r="L14" i="71"/>
  <c r="N14" i="71" s="1"/>
  <c r="D12" i="71"/>
  <c r="J82" i="65"/>
  <c r="J78" i="65"/>
  <c r="J74" i="65"/>
  <c r="J84" i="65"/>
  <c r="J26" i="65"/>
  <c r="J32" i="65"/>
  <c r="J34" i="65"/>
  <c r="J42" i="65"/>
  <c r="J46" i="65"/>
  <c r="J54" i="65"/>
  <c r="J62" i="65"/>
  <c r="Z96" i="67"/>
  <c r="X96" i="67"/>
  <c r="N98" i="67"/>
  <c r="L98" i="67"/>
  <c r="P12" i="68"/>
  <c r="X15" i="68"/>
  <c r="X50" i="68"/>
  <c r="Z50" i="68" s="1"/>
  <c r="J19" i="65"/>
  <c r="J27" i="65"/>
  <c r="J35" i="65"/>
  <c r="J43" i="65"/>
  <c r="J47" i="65"/>
  <c r="V55" i="65"/>
  <c r="J57" i="65"/>
  <c r="V63" i="65"/>
  <c r="J65" i="65"/>
  <c r="Z24" i="68"/>
  <c r="X36" i="77"/>
  <c r="Z36" i="77" s="1"/>
  <c r="V49" i="63"/>
  <c r="V53" i="63"/>
  <c r="V61" i="63"/>
  <c r="V73" i="63"/>
  <c r="V77" i="63"/>
  <c r="X14" i="64"/>
  <c r="X15" i="65"/>
  <c r="J20" i="65"/>
  <c r="J28" i="65"/>
  <c r="V30" i="65"/>
  <c r="J36" i="65"/>
  <c r="V44" i="65"/>
  <c r="J48" i="65"/>
  <c r="V52" i="65"/>
  <c r="V56" i="65"/>
  <c r="J60" i="65"/>
  <c r="V64" i="65"/>
  <c r="J68" i="65"/>
  <c r="J72" i="65"/>
  <c r="J76" i="65"/>
  <c r="L13" i="67"/>
  <c r="N13" i="67" s="1"/>
  <c r="L18" i="67"/>
  <c r="J87" i="67"/>
  <c r="V74" i="69"/>
  <c r="V70" i="69"/>
  <c r="V62" i="69"/>
  <c r="V54" i="69"/>
  <c r="V46" i="69"/>
  <c r="V61" i="69"/>
  <c r="V53" i="69"/>
  <c r="V45" i="69"/>
  <c r="V41" i="69"/>
  <c r="V76" i="69"/>
  <c r="V64" i="69"/>
  <c r="V56" i="69"/>
  <c r="V52" i="69"/>
  <c r="V44" i="69"/>
  <c r="V40" i="69"/>
  <c r="V24" i="69"/>
  <c r="V73" i="69"/>
  <c r="V63" i="69"/>
  <c r="V55" i="69"/>
  <c r="V51" i="69"/>
  <c r="V66" i="69"/>
  <c r="V58" i="69"/>
  <c r="V50" i="69"/>
  <c r="V38" i="69"/>
  <c r="V75" i="69"/>
  <c r="V69" i="69"/>
  <c r="V65" i="69"/>
  <c r="V80" i="69"/>
  <c r="V68" i="69"/>
  <c r="V60" i="69"/>
  <c r="V48" i="69"/>
  <c r="V36" i="69"/>
  <c r="V32" i="69"/>
  <c r="V28" i="69"/>
  <c r="V20" i="69"/>
  <c r="V59" i="69"/>
  <c r="V39" i="69"/>
  <c r="V33" i="69"/>
  <c r="V71" i="69"/>
  <c r="V34" i="69"/>
  <c r="V35" i="69"/>
  <c r="V49" i="69"/>
  <c r="V67" i="69"/>
  <c r="V42" i="69"/>
  <c r="T30" i="69"/>
  <c r="V27" i="69"/>
  <c r="V23" i="69"/>
  <c r="V43" i="69"/>
  <c r="V37" i="69"/>
  <c r="V26" i="69"/>
  <c r="V22" i="69"/>
  <c r="V19" i="69"/>
  <c r="V21" i="69"/>
  <c r="D22" i="76"/>
  <c r="F20" i="76"/>
  <c r="F28" i="76"/>
  <c r="F19" i="76"/>
  <c r="F32" i="76"/>
  <c r="F26" i="76"/>
  <c r="F18" i="76"/>
  <c r="L12" i="76"/>
  <c r="N12" i="76" s="1"/>
  <c r="F24" i="76"/>
  <c r="F17" i="76"/>
  <c r="F25" i="76"/>
  <c r="V50" i="63"/>
  <c r="V58" i="63"/>
  <c r="V62" i="63"/>
  <c r="V70" i="63"/>
  <c r="V74" i="63"/>
  <c r="V78" i="63"/>
  <c r="V82" i="63"/>
  <c r="V84" i="63"/>
  <c r="J21" i="65"/>
  <c r="H30" i="65"/>
  <c r="V33" i="65"/>
  <c r="J37" i="65"/>
  <c r="J49" i="65"/>
  <c r="V53" i="65"/>
  <c r="J55" i="65"/>
  <c r="V61" i="65"/>
  <c r="J63" i="65"/>
  <c r="J69" i="65"/>
  <c r="V73" i="65"/>
  <c r="V74" i="65"/>
  <c r="J80" i="65"/>
  <c r="L81" i="65"/>
  <c r="N81" i="65" s="1"/>
  <c r="D80" i="65"/>
  <c r="L80" i="65" s="1"/>
  <c r="N80" i="65" s="1"/>
  <c r="J88" i="65"/>
  <c r="X92" i="67"/>
  <c r="Z92" i="67" s="1"/>
  <c r="Z101" i="67"/>
  <c r="X62" i="68"/>
  <c r="Z62" i="68" s="1"/>
  <c r="V23" i="63"/>
  <c r="V29" i="63"/>
  <c r="V39" i="63"/>
  <c r="V43" i="63"/>
  <c r="V51" i="63"/>
  <c r="V59" i="63"/>
  <c r="V67" i="63"/>
  <c r="V71" i="63"/>
  <c r="V75" i="63"/>
  <c r="T16" i="64"/>
  <c r="R19" i="64"/>
  <c r="V21" i="64"/>
  <c r="R22" i="64"/>
  <c r="V25" i="64"/>
  <c r="R29" i="64"/>
  <c r="V83" i="65"/>
  <c r="V93" i="65"/>
  <c r="V88" i="65"/>
  <c r="V86" i="65"/>
  <c r="V80" i="65"/>
  <c r="V18" i="65"/>
  <c r="J22" i="65"/>
  <c r="V26" i="65"/>
  <c r="J30" i="65"/>
  <c r="V34" i="65"/>
  <c r="J38" i="65"/>
  <c r="V42" i="65"/>
  <c r="J44" i="65"/>
  <c r="V46" i="65"/>
  <c r="J50" i="65"/>
  <c r="V54" i="65"/>
  <c r="J58" i="65"/>
  <c r="V62" i="65"/>
  <c r="J66" i="65"/>
  <c r="J70" i="65"/>
  <c r="X73" i="65"/>
  <c r="Z73" i="65" s="1"/>
  <c r="J77" i="65"/>
  <c r="J94" i="67"/>
  <c r="J90" i="67"/>
  <c r="J86" i="67"/>
  <c r="J80" i="67"/>
  <c r="J74" i="67"/>
  <c r="J66" i="67"/>
  <c r="J58" i="67"/>
  <c r="J52" i="67"/>
  <c r="J46" i="67"/>
  <c r="H39" i="67"/>
  <c r="J30" i="67"/>
  <c r="J22" i="67"/>
  <c r="J101" i="67"/>
  <c r="J97" i="67"/>
  <c r="J93" i="67"/>
  <c r="J77" i="67"/>
  <c r="J71" i="67"/>
  <c r="J63" i="67"/>
  <c r="J57" i="67"/>
  <c r="J45" i="67"/>
  <c r="J37" i="67"/>
  <c r="J29" i="67"/>
  <c r="J21" i="67"/>
  <c r="J108" i="67"/>
  <c r="J103" i="67"/>
  <c r="J82" i="67"/>
  <c r="J68" i="67"/>
  <c r="J56" i="67"/>
  <c r="J44" i="67"/>
  <c r="J36" i="67"/>
  <c r="J28" i="67"/>
  <c r="J20" i="67"/>
  <c r="N12" i="67"/>
  <c r="J99" i="67"/>
  <c r="J96" i="67"/>
  <c r="J92" i="67"/>
  <c r="J76" i="67"/>
  <c r="J70" i="67"/>
  <c r="J62" i="67"/>
  <c r="J54" i="67"/>
  <c r="J50" i="67"/>
  <c r="J102" i="67"/>
  <c r="J98" i="67"/>
  <c r="J88" i="67"/>
  <c r="J84" i="67"/>
  <c r="J78" i="67"/>
  <c r="J72" i="67"/>
  <c r="J64" i="67"/>
  <c r="J60" i="67"/>
  <c r="J48" i="67"/>
  <c r="J42" i="67"/>
  <c r="J32" i="67"/>
  <c r="J24" i="67"/>
  <c r="J18" i="67"/>
  <c r="J23" i="67"/>
  <c r="J33" i="67"/>
  <c r="N41" i="67"/>
  <c r="Z52" i="67"/>
  <c r="J65" i="67"/>
  <c r="J79" i="67"/>
  <c r="H73" i="68"/>
  <c r="J22" i="68"/>
  <c r="Z46" i="68"/>
  <c r="N48" i="68"/>
  <c r="P70" i="68"/>
  <c r="X70" i="68" s="1"/>
  <c r="Z70" i="68" s="1"/>
  <c r="X71" i="68"/>
  <c r="Z71" i="68" s="1"/>
  <c r="V24" i="63"/>
  <c r="V32" i="63"/>
  <c r="V40" i="63"/>
  <c r="V44" i="63"/>
  <c r="V56" i="63"/>
  <c r="V60" i="63"/>
  <c r="V68" i="63"/>
  <c r="V72" i="63"/>
  <c r="V16" i="64"/>
  <c r="V19" i="65"/>
  <c r="J23" i="65"/>
  <c r="V27" i="65"/>
  <c r="J33" i="65"/>
  <c r="V35" i="65"/>
  <c r="J39" i="65"/>
  <c r="V43" i="65"/>
  <c r="V47" i="65"/>
  <c r="J51" i="65"/>
  <c r="V59" i="65"/>
  <c r="J61" i="65"/>
  <c r="V67" i="65"/>
  <c r="V71" i="65"/>
  <c r="J73" i="65"/>
  <c r="J81" i="65"/>
  <c r="J83" i="65"/>
  <c r="J31" i="67"/>
  <c r="J39" i="67"/>
  <c r="J41" i="67"/>
  <c r="J43" i="67"/>
  <c r="J73" i="67"/>
  <c r="X76" i="67"/>
  <c r="J83" i="67"/>
  <c r="N96" i="67"/>
  <c r="V18" i="69"/>
  <c r="V36" i="67"/>
  <c r="V44" i="67"/>
  <c r="V56" i="67"/>
  <c r="V68" i="67"/>
  <c r="V76" i="67"/>
  <c r="V92" i="67"/>
  <c r="V96" i="67"/>
  <c r="V108" i="67"/>
  <c r="V26" i="68"/>
  <c r="J30" i="68"/>
  <c r="V34" i="68"/>
  <c r="V38" i="68"/>
  <c r="J42" i="68"/>
  <c r="V50" i="68"/>
  <c r="J52" i="68"/>
  <c r="V54" i="68"/>
  <c r="J58" i="68"/>
  <c r="V62" i="68"/>
  <c r="J66" i="68"/>
  <c r="J70" i="68"/>
  <c r="J33" i="69"/>
  <c r="Z56" i="71"/>
  <c r="N16" i="72"/>
  <c r="H24" i="72"/>
  <c r="V97" i="67"/>
  <c r="V103" i="67"/>
  <c r="V27" i="68"/>
  <c r="V39" i="68"/>
  <c r="V51" i="68"/>
  <c r="V63" i="68"/>
  <c r="V67" i="68"/>
  <c r="V71" i="68"/>
  <c r="F34" i="69"/>
  <c r="F46" i="69"/>
  <c r="F57" i="69"/>
  <c r="V24" i="74"/>
  <c r="V74" i="67"/>
  <c r="V82" i="67"/>
  <c r="V86" i="67"/>
  <c r="V90" i="67"/>
  <c r="V94" i="67"/>
  <c r="V20" i="68"/>
  <c r="V24" i="68"/>
  <c r="V28" i="68"/>
  <c r="V40" i="68"/>
  <c r="V48" i="68"/>
  <c r="J50" i="68"/>
  <c r="V60" i="68"/>
  <c r="J62" i="68"/>
  <c r="V64" i="68"/>
  <c r="V68" i="68"/>
  <c r="F76" i="69"/>
  <c r="F70" i="69"/>
  <c r="F51" i="69"/>
  <c r="F66" i="69"/>
  <c r="F61" i="69"/>
  <c r="F58" i="69"/>
  <c r="F50" i="69"/>
  <c r="F69" i="69"/>
  <c r="F49" i="69"/>
  <c r="F44" i="69"/>
  <c r="F37" i="69"/>
  <c r="F21" i="69"/>
  <c r="F80" i="69"/>
  <c r="F75" i="69"/>
  <c r="F68" i="69"/>
  <c r="F63" i="69"/>
  <c r="F60" i="69"/>
  <c r="F55" i="69"/>
  <c r="F48" i="69"/>
  <c r="F71" i="69"/>
  <c r="F47" i="69"/>
  <c r="F43" i="69"/>
  <c r="F35" i="69"/>
  <c r="F65" i="69"/>
  <c r="F62" i="69"/>
  <c r="F74" i="69"/>
  <c r="F53" i="69"/>
  <c r="F45" i="69"/>
  <c r="F41" i="69"/>
  <c r="F32" i="69"/>
  <c r="F25" i="69"/>
  <c r="F39" i="69"/>
  <c r="F40" i="69"/>
  <c r="F52" i="69"/>
  <c r="J19" i="68"/>
  <c r="V29" i="68"/>
  <c r="V41" i="68"/>
  <c r="V49" i="68"/>
  <c r="V57" i="68"/>
  <c r="V61" i="68"/>
  <c r="V65" i="68"/>
  <c r="J67" i="68"/>
  <c r="J66" i="69"/>
  <c r="J58" i="69"/>
  <c r="J50" i="69"/>
  <c r="J73" i="69"/>
  <c r="J69" i="69"/>
  <c r="J63" i="69"/>
  <c r="J55" i="69"/>
  <c r="J49" i="69"/>
  <c r="J80" i="69"/>
  <c r="J75" i="69"/>
  <c r="J68" i="69"/>
  <c r="J60" i="69"/>
  <c r="J48" i="69"/>
  <c r="J36" i="69"/>
  <c r="J28" i="69"/>
  <c r="J71" i="69"/>
  <c r="J65" i="69"/>
  <c r="J57" i="69"/>
  <c r="J47" i="69"/>
  <c r="J62" i="69"/>
  <c r="J54" i="69"/>
  <c r="J46" i="69"/>
  <c r="J42" i="69"/>
  <c r="J34" i="69"/>
  <c r="J74" i="69"/>
  <c r="J67" i="69"/>
  <c r="J70" i="69"/>
  <c r="J64" i="69"/>
  <c r="J56" i="69"/>
  <c r="J52" i="69"/>
  <c r="J40" i="69"/>
  <c r="J24" i="69"/>
  <c r="F19" i="69"/>
  <c r="F22" i="69"/>
  <c r="F26" i="69"/>
  <c r="D30" i="69"/>
  <c r="X32" i="69"/>
  <c r="Z32" i="69" s="1"/>
  <c r="J39" i="69"/>
  <c r="J45" i="69"/>
  <c r="F56" i="69"/>
  <c r="J59" i="69"/>
  <c r="L74" i="69"/>
  <c r="D73" i="69"/>
  <c r="L73" i="69" s="1"/>
  <c r="N73" i="69" s="1"/>
  <c r="N16" i="71"/>
  <c r="L16" i="71"/>
  <c r="N32" i="71"/>
  <c r="N54" i="71"/>
  <c r="D25" i="73"/>
  <c r="L19" i="73"/>
  <c r="H83" i="74"/>
  <c r="V24" i="67"/>
  <c r="V32" i="67"/>
  <c r="T39" i="67"/>
  <c r="V48" i="67"/>
  <c r="V52" i="67"/>
  <c r="V60" i="67"/>
  <c r="X63" i="67"/>
  <c r="Z63" i="67" s="1"/>
  <c r="V64" i="67"/>
  <c r="L65" i="67"/>
  <c r="X71" i="67"/>
  <c r="Z71" i="67" s="1"/>
  <c r="V72" i="67"/>
  <c r="L73" i="67"/>
  <c r="N73" i="67" s="1"/>
  <c r="V80" i="67"/>
  <c r="V84" i="67"/>
  <c r="L85" i="67"/>
  <c r="N85" i="67" s="1"/>
  <c r="V88" i="67"/>
  <c r="L89" i="67"/>
  <c r="V104" i="67"/>
  <c r="L19" i="68"/>
  <c r="J24" i="68"/>
  <c r="V30" i="68"/>
  <c r="J34" i="68"/>
  <c r="J38" i="68"/>
  <c r="V42" i="68"/>
  <c r="V46" i="68"/>
  <c r="J48" i="68"/>
  <c r="J54" i="68"/>
  <c r="X57" i="68"/>
  <c r="Z57" i="68" s="1"/>
  <c r="V58" i="68"/>
  <c r="J60" i="68"/>
  <c r="V66" i="68"/>
  <c r="L67" i="68"/>
  <c r="N67" i="68" s="1"/>
  <c r="J71" i="68"/>
  <c r="L12" i="69"/>
  <c r="N12" i="69" s="1"/>
  <c r="J19" i="69"/>
  <c r="F20" i="69"/>
  <c r="J21" i="69"/>
  <c r="J22" i="69"/>
  <c r="F23" i="69"/>
  <c r="J25" i="69"/>
  <c r="J26" i="69"/>
  <c r="F27" i="69"/>
  <c r="H30" i="69"/>
  <c r="F38" i="69"/>
  <c r="J43" i="69"/>
  <c r="J51" i="69"/>
  <c r="X75" i="69"/>
  <c r="P73" i="69"/>
  <c r="X73" i="69" s="1"/>
  <c r="Z73" i="69" s="1"/>
  <c r="Z22" i="71"/>
  <c r="Z68" i="71"/>
  <c r="X68" i="71"/>
  <c r="R21" i="73"/>
  <c r="Z16" i="73"/>
  <c r="N19" i="73"/>
  <c r="P12" i="67"/>
  <c r="V25" i="67"/>
  <c r="V33" i="67"/>
  <c r="V39" i="67"/>
  <c r="V49" i="67"/>
  <c r="V53" i="67"/>
  <c r="V61" i="67"/>
  <c r="V69" i="67"/>
  <c r="V81" i="67"/>
  <c r="D12" i="68"/>
  <c r="T22" i="68"/>
  <c r="J27" i="68"/>
  <c r="V31" i="68"/>
  <c r="V35" i="68"/>
  <c r="J39" i="68"/>
  <c r="V43" i="68"/>
  <c r="V47" i="68"/>
  <c r="J51" i="68"/>
  <c r="V55" i="68"/>
  <c r="J57" i="68"/>
  <c r="V59" i="68"/>
  <c r="J63" i="68"/>
  <c r="D70" i="68"/>
  <c r="L70" i="68" s="1"/>
  <c r="N70" i="68" s="1"/>
  <c r="V75" i="68"/>
  <c r="J20" i="69"/>
  <c r="J23" i="69"/>
  <c r="F24" i="69"/>
  <c r="J27" i="69"/>
  <c r="F28" i="69"/>
  <c r="J30" i="69"/>
  <c r="N32" i="69"/>
  <c r="L33" i="69"/>
  <c r="N33" i="69" s="1"/>
  <c r="J37" i="69"/>
  <c r="J38" i="69"/>
  <c r="N44" i="69"/>
  <c r="F54" i="69"/>
  <c r="F67" i="69"/>
  <c r="N70" i="69"/>
  <c r="L70" i="69"/>
  <c r="Z32" i="71"/>
  <c r="Z54" i="71"/>
  <c r="X54" i="71"/>
  <c r="V18" i="67"/>
  <c r="V26" i="67"/>
  <c r="V34" i="67"/>
  <c r="V42" i="67"/>
  <c r="V50" i="67"/>
  <c r="V54" i="67"/>
  <c r="V62" i="67"/>
  <c r="V70" i="67"/>
  <c r="V78" i="67"/>
  <c r="V98" i="67"/>
  <c r="J20" i="68"/>
  <c r="V22" i="68"/>
  <c r="J28" i="68"/>
  <c r="V32" i="68"/>
  <c r="V36" i="68"/>
  <c r="J40" i="68"/>
  <c r="V44" i="68"/>
  <c r="J46" i="68"/>
  <c r="V52" i="68"/>
  <c r="V56" i="68"/>
  <c r="J64" i="68"/>
  <c r="P12" i="69"/>
  <c r="J32" i="69"/>
  <c r="F33" i="69"/>
  <c r="J44" i="69"/>
  <c r="L56" i="71"/>
  <c r="N56" i="71" s="1"/>
  <c r="T24" i="72"/>
  <c r="J16" i="71"/>
  <c r="Z16" i="71"/>
  <c r="P19" i="71"/>
  <c r="V26" i="71"/>
  <c r="R27" i="71"/>
  <c r="J30" i="71"/>
  <c r="R32" i="71"/>
  <c r="J34" i="71"/>
  <c r="V38" i="71"/>
  <c r="R39" i="71"/>
  <c r="J42" i="71"/>
  <c r="V46" i="71"/>
  <c r="J50" i="71"/>
  <c r="V54" i="71"/>
  <c r="R55" i="71"/>
  <c r="J56" i="71"/>
  <c r="V58" i="71"/>
  <c r="V62" i="71"/>
  <c r="J66" i="71"/>
  <c r="V68" i="71"/>
  <c r="J72" i="71"/>
  <c r="Z12" i="72"/>
  <c r="R14" i="72"/>
  <c r="J16" i="72"/>
  <c r="R18" i="72"/>
  <c r="V20" i="72"/>
  <c r="F24" i="72"/>
  <c r="V24" i="72"/>
  <c r="V26" i="72"/>
  <c r="F31" i="72"/>
  <c r="V31" i="72"/>
  <c r="N12" i="73"/>
  <c r="F17" i="73"/>
  <c r="F19" i="73"/>
  <c r="H25" i="73"/>
  <c r="J27" i="73"/>
  <c r="J16" i="74"/>
  <c r="F17" i="74"/>
  <c r="F18" i="74"/>
  <c r="J27" i="74"/>
  <c r="J43" i="74"/>
  <c r="Z48" i="74"/>
  <c r="J63" i="74"/>
  <c r="R69" i="74"/>
  <c r="L13" i="75"/>
  <c r="N13" i="75" s="1"/>
  <c r="D12" i="75"/>
  <c r="N17" i="75"/>
  <c r="J42" i="75"/>
  <c r="J50" i="75"/>
  <c r="N67" i="75"/>
  <c r="N73" i="75"/>
  <c r="X24" i="76"/>
  <c r="F77" i="77"/>
  <c r="F72" i="77"/>
  <c r="F69" i="77"/>
  <c r="F61" i="77"/>
  <c r="F56" i="77"/>
  <c r="F41" i="77"/>
  <c r="F36" i="77"/>
  <c r="F84" i="77"/>
  <c r="F76" i="77"/>
  <c r="F68" i="77"/>
  <c r="F64" i="77"/>
  <c r="F52" i="77"/>
  <c r="F47" i="77"/>
  <c r="F40" i="77"/>
  <c r="F92" i="77"/>
  <c r="F86" i="77"/>
  <c r="F81" i="77"/>
  <c r="F74" i="77"/>
  <c r="F66" i="77"/>
  <c r="F54" i="77"/>
  <c r="F49" i="77"/>
  <c r="F46" i="77"/>
  <c r="F38" i="77"/>
  <c r="F73" i="77"/>
  <c r="F60" i="77"/>
  <c r="F57" i="77"/>
  <c r="F45" i="77"/>
  <c r="F37" i="77"/>
  <c r="F79" i="77"/>
  <c r="F70" i="77"/>
  <c r="F62" i="77"/>
  <c r="F59" i="77"/>
  <c r="F43" i="77"/>
  <c r="F85" i="77"/>
  <c r="F71" i="77"/>
  <c r="F67" i="77"/>
  <c r="F53" i="77"/>
  <c r="F27" i="77"/>
  <c r="F19" i="77"/>
  <c r="F80" i="77"/>
  <c r="F55" i="77"/>
  <c r="F34" i="77"/>
  <c r="F25" i="77"/>
  <c r="F63" i="77"/>
  <c r="F35" i="77"/>
  <c r="F33" i="77"/>
  <c r="F88" i="77"/>
  <c r="F58" i="77"/>
  <c r="F32" i="77"/>
  <c r="F82" i="77"/>
  <c r="F31" i="77"/>
  <c r="F26" i="77"/>
  <c r="F18" i="77"/>
  <c r="F83" i="77"/>
  <c r="F51" i="77"/>
  <c r="F50" i="77"/>
  <c r="F29" i="77"/>
  <c r="D23" i="77"/>
  <c r="F21" i="77"/>
  <c r="X18" i="77"/>
  <c r="F20" i="77"/>
  <c r="R40" i="71"/>
  <c r="R44" i="71"/>
  <c r="R49" i="71"/>
  <c r="R52" i="71"/>
  <c r="R65" i="71"/>
  <c r="R23" i="73"/>
  <c r="R46" i="74"/>
  <c r="R59" i="74"/>
  <c r="T94" i="75"/>
  <c r="Z24" i="76"/>
  <c r="Z18" i="77"/>
  <c r="T19" i="71"/>
  <c r="R22" i="71"/>
  <c r="J24" i="71"/>
  <c r="V28" i="71"/>
  <c r="R29" i="71"/>
  <c r="V32" i="71"/>
  <c r="R33" i="71"/>
  <c r="J36" i="71"/>
  <c r="V40" i="71"/>
  <c r="R41" i="71"/>
  <c r="V44" i="71"/>
  <c r="J48" i="71"/>
  <c r="V52" i="71"/>
  <c r="R53" i="71"/>
  <c r="J54" i="71"/>
  <c r="J60" i="71"/>
  <c r="J64" i="71"/>
  <c r="J68" i="71"/>
  <c r="R70" i="71"/>
  <c r="R77" i="71"/>
  <c r="F14" i="72"/>
  <c r="F18" i="72"/>
  <c r="R22" i="72"/>
  <c r="J24" i="72"/>
  <c r="R28" i="72"/>
  <c r="J31" i="72"/>
  <c r="R16" i="73"/>
  <c r="J19" i="73"/>
  <c r="V21" i="73"/>
  <c r="X23" i="73"/>
  <c r="J70" i="74"/>
  <c r="J66" i="74"/>
  <c r="J62" i="74"/>
  <c r="J54" i="74"/>
  <c r="J48" i="74"/>
  <c r="J42" i="74"/>
  <c r="J34" i="74"/>
  <c r="J30" i="74"/>
  <c r="J24" i="74"/>
  <c r="J83" i="74"/>
  <c r="J75" i="74"/>
  <c r="J59" i="74"/>
  <c r="J45" i="74"/>
  <c r="J41" i="74"/>
  <c r="J29" i="74"/>
  <c r="J21" i="74"/>
  <c r="J78" i="74"/>
  <c r="J56" i="74"/>
  <c r="J50" i="74"/>
  <c r="J69" i="74"/>
  <c r="J65" i="74"/>
  <c r="J61" i="74"/>
  <c r="J53" i="74"/>
  <c r="J47" i="74"/>
  <c r="J74" i="74"/>
  <c r="J58" i="74"/>
  <c r="J44" i="74"/>
  <c r="J38" i="74"/>
  <c r="J26" i="74"/>
  <c r="J18" i="74"/>
  <c r="J76" i="74"/>
  <c r="J72" i="74"/>
  <c r="J68" i="74"/>
  <c r="J64" i="74"/>
  <c r="J60" i="74"/>
  <c r="J52" i="74"/>
  <c r="J46" i="74"/>
  <c r="J36" i="74"/>
  <c r="J32" i="74"/>
  <c r="F85" i="74"/>
  <c r="F79" i="74"/>
  <c r="F71" i="74"/>
  <c r="F67" i="74"/>
  <c r="F63" i="74"/>
  <c r="F51" i="74"/>
  <c r="F46" i="74"/>
  <c r="F43" i="74"/>
  <c r="F35" i="74"/>
  <c r="F31" i="74"/>
  <c r="F70" i="74"/>
  <c r="F66" i="74"/>
  <c r="F62" i="74"/>
  <c r="F57" i="74"/>
  <c r="F54" i="74"/>
  <c r="F42" i="74"/>
  <c r="F34" i="74"/>
  <c r="F30" i="74"/>
  <c r="F48" i="74"/>
  <c r="F75" i="74"/>
  <c r="F59" i="74"/>
  <c r="F56" i="74"/>
  <c r="F78" i="74"/>
  <c r="F50" i="74"/>
  <c r="F47" i="74"/>
  <c r="F39" i="74"/>
  <c r="F27" i="74"/>
  <c r="D21" i="74"/>
  <c r="F19" i="74"/>
  <c r="F77" i="74"/>
  <c r="F73" i="74"/>
  <c r="F49" i="74"/>
  <c r="F44" i="74"/>
  <c r="F37" i="74"/>
  <c r="R19" i="74"/>
  <c r="P21" i="74"/>
  <c r="F24" i="74"/>
  <c r="F25" i="74"/>
  <c r="F26" i="74"/>
  <c r="R28" i="74"/>
  <c r="R36" i="74"/>
  <c r="R37" i="74"/>
  <c r="N50" i="74"/>
  <c r="J57" i="74"/>
  <c r="F74" i="74"/>
  <c r="Z67" i="75"/>
  <c r="F65" i="77"/>
  <c r="D30" i="78"/>
  <c r="R30" i="71"/>
  <c r="R34" i="71"/>
  <c r="J37" i="71"/>
  <c r="V41" i="71"/>
  <c r="R42" i="71"/>
  <c r="J43" i="71"/>
  <c r="R47" i="71"/>
  <c r="V49" i="71"/>
  <c r="R50" i="71"/>
  <c r="J51" i="71"/>
  <c r="V53" i="71"/>
  <c r="J57" i="71"/>
  <c r="R59" i="71"/>
  <c r="J61" i="71"/>
  <c r="R63" i="71"/>
  <c r="V65" i="71"/>
  <c r="R66" i="71"/>
  <c r="R72" i="71"/>
  <c r="L12" i="72"/>
  <c r="P16" i="72"/>
  <c r="F20" i="72"/>
  <c r="F26" i="72"/>
  <c r="X12" i="73"/>
  <c r="F21" i="73"/>
  <c r="R27" i="73"/>
  <c r="R21" i="74"/>
  <c r="J31" i="74"/>
  <c r="R32" i="74"/>
  <c r="J33" i="74"/>
  <c r="F40" i="74"/>
  <c r="F41" i="74"/>
  <c r="J49" i="74"/>
  <c r="F53" i="74"/>
  <c r="J55" i="74"/>
  <c r="F61" i="74"/>
  <c r="F65" i="74"/>
  <c r="R75" i="74"/>
  <c r="J79" i="75"/>
  <c r="J69" i="75"/>
  <c r="J65" i="75"/>
  <c r="J57" i="75"/>
  <c r="J49" i="75"/>
  <c r="J41" i="75"/>
  <c r="J35" i="75"/>
  <c r="J29" i="75"/>
  <c r="H22" i="75"/>
  <c r="J82" i="75"/>
  <c r="J76" i="75"/>
  <c r="J72" i="75"/>
  <c r="J68" i="75"/>
  <c r="J62" i="75"/>
  <c r="J54" i="75"/>
  <c r="J46" i="75"/>
  <c r="J40" i="75"/>
  <c r="J28" i="75"/>
  <c r="J20" i="75"/>
  <c r="J75" i="75"/>
  <c r="J71" i="75"/>
  <c r="J59" i="75"/>
  <c r="J51" i="75"/>
  <c r="J39" i="75"/>
  <c r="J27" i="75"/>
  <c r="J19" i="75"/>
  <c r="J78" i="75"/>
  <c r="J74" i="75"/>
  <c r="J64" i="75"/>
  <c r="J56" i="75"/>
  <c r="J48" i="75"/>
  <c r="J38" i="75"/>
  <c r="J34" i="75"/>
  <c r="J26" i="75"/>
  <c r="J24" i="75"/>
  <c r="J18" i="75"/>
  <c r="J85" i="75"/>
  <c r="J81" i="75"/>
  <c r="J67" i="75"/>
  <c r="J61" i="75"/>
  <c r="J53" i="75"/>
  <c r="J45" i="75"/>
  <c r="J37" i="75"/>
  <c r="J33" i="75"/>
  <c r="J89" i="75"/>
  <c r="J83" i="75"/>
  <c r="J77" i="75"/>
  <c r="J73" i="75"/>
  <c r="J63" i="75"/>
  <c r="J55" i="75"/>
  <c r="J47" i="75"/>
  <c r="J43" i="75"/>
  <c r="J31" i="75"/>
  <c r="J25" i="75"/>
  <c r="J17" i="75"/>
  <c r="H30" i="76"/>
  <c r="J30" i="76" s="1"/>
  <c r="Z26" i="77"/>
  <c r="F48" i="77"/>
  <c r="T26" i="78"/>
  <c r="R16" i="71"/>
  <c r="H19" i="71"/>
  <c r="V22" i="71"/>
  <c r="R23" i="71"/>
  <c r="J26" i="71"/>
  <c r="V30" i="71"/>
  <c r="R31" i="71"/>
  <c r="J32" i="71"/>
  <c r="V34" i="71"/>
  <c r="R35" i="71"/>
  <c r="J38" i="71"/>
  <c r="V42" i="71"/>
  <c r="J46" i="71"/>
  <c r="V50" i="71"/>
  <c r="R56" i="71"/>
  <c r="J58" i="71"/>
  <c r="J62" i="71"/>
  <c r="V66" i="71"/>
  <c r="V72" i="71"/>
  <c r="N12" i="72"/>
  <c r="J14" i="72"/>
  <c r="Z14" i="72"/>
  <c r="R16" i="72"/>
  <c r="J18" i="72"/>
  <c r="J20" i="72"/>
  <c r="F22" i="72"/>
  <c r="V22" i="72"/>
  <c r="J26" i="72"/>
  <c r="F28" i="72"/>
  <c r="V28" i="72"/>
  <c r="Z12" i="73"/>
  <c r="F16" i="73"/>
  <c r="V16" i="73"/>
  <c r="R17" i="73"/>
  <c r="V23" i="73"/>
  <c r="V27" i="73"/>
  <c r="N12" i="74"/>
  <c r="R17" i="74"/>
  <c r="J39" i="74"/>
  <c r="J40" i="74"/>
  <c r="R42" i="74"/>
  <c r="X44" i="74"/>
  <c r="Z50" i="74"/>
  <c r="F52" i="74"/>
  <c r="R54" i="74"/>
  <c r="R56" i="74"/>
  <c r="R62" i="74"/>
  <c r="F69" i="74"/>
  <c r="J73" i="74"/>
  <c r="J77" i="74"/>
  <c r="X78" i="74"/>
  <c r="J44" i="75"/>
  <c r="J70" i="75"/>
  <c r="L12" i="77"/>
  <c r="F23" i="77"/>
  <c r="F78" i="77"/>
  <c r="F70" i="79"/>
  <c r="F41" i="79"/>
  <c r="F37" i="79"/>
  <c r="F25" i="79"/>
  <c r="F80" i="79"/>
  <c r="F73" i="79"/>
  <c r="F68" i="79"/>
  <c r="F63" i="79"/>
  <c r="F60" i="79"/>
  <c r="F56" i="79"/>
  <c r="F52" i="79"/>
  <c r="F47" i="79"/>
  <c r="F44" i="79"/>
  <c r="F36" i="79"/>
  <c r="F24" i="79"/>
  <c r="F19" i="79"/>
  <c r="F59" i="79"/>
  <c r="F55" i="79"/>
  <c r="F43" i="79"/>
  <c r="F35" i="79"/>
  <c r="F23" i="79"/>
  <c r="F16" i="79"/>
  <c r="F71" i="79"/>
  <c r="F65" i="79"/>
  <c r="F62" i="79"/>
  <c r="F58" i="79"/>
  <c r="F54" i="79"/>
  <c r="F49" i="79"/>
  <c r="F46" i="79"/>
  <c r="F34" i="79"/>
  <c r="F29" i="79"/>
  <c r="F22" i="79"/>
  <c r="D16" i="79"/>
  <c r="F40" i="79"/>
  <c r="F33" i="79"/>
  <c r="F21" i="79"/>
  <c r="F75" i="79"/>
  <c r="F42" i="79"/>
  <c r="F39" i="79"/>
  <c r="F31" i="79"/>
  <c r="F27" i="79"/>
  <c r="F18" i="79"/>
  <c r="F14" i="79"/>
  <c r="F66" i="79"/>
  <c r="F67" i="79"/>
  <c r="F57" i="79"/>
  <c r="F50" i="79"/>
  <c r="F51" i="79"/>
  <c r="F28" i="79"/>
  <c r="F20" i="79"/>
  <c r="F77" i="79"/>
  <c r="F32" i="79"/>
  <c r="F26" i="79"/>
  <c r="F64" i="79"/>
  <c r="F61" i="79"/>
  <c r="F48" i="79"/>
  <c r="H16" i="79"/>
  <c r="N14" i="79"/>
  <c r="Z18" i="79"/>
  <c r="X18" i="79"/>
  <c r="F38" i="79"/>
  <c r="F45" i="79"/>
  <c r="R21" i="71"/>
  <c r="R24" i="71"/>
  <c r="R36" i="71"/>
  <c r="J39" i="71"/>
  <c r="R45" i="71"/>
  <c r="V47" i="71"/>
  <c r="R48" i="71"/>
  <c r="J49" i="71"/>
  <c r="J55" i="71"/>
  <c r="V59" i="71"/>
  <c r="R60" i="71"/>
  <c r="V63" i="71"/>
  <c r="R64" i="71"/>
  <c r="J65" i="71"/>
  <c r="D16" i="72"/>
  <c r="R19" i="72"/>
  <c r="P19" i="73"/>
  <c r="R19" i="73" s="1"/>
  <c r="R47" i="74"/>
  <c r="R44" i="74"/>
  <c r="R39" i="74"/>
  <c r="R27" i="74"/>
  <c r="R81" i="74"/>
  <c r="R74" i="74"/>
  <c r="R58" i="74"/>
  <c r="R55" i="74"/>
  <c r="R38" i="74"/>
  <c r="R26" i="74"/>
  <c r="R23" i="74"/>
  <c r="R18" i="74"/>
  <c r="R77" i="74"/>
  <c r="R73" i="74"/>
  <c r="R49" i="74"/>
  <c r="R76" i="74"/>
  <c r="R72" i="74"/>
  <c r="R68" i="74"/>
  <c r="R64" i="74"/>
  <c r="R60" i="74"/>
  <c r="R57" i="74"/>
  <c r="R52" i="74"/>
  <c r="R85" i="74"/>
  <c r="R79" i="74"/>
  <c r="R71" i="74"/>
  <c r="R67" i="74"/>
  <c r="R63" i="74"/>
  <c r="R51" i="74"/>
  <c r="R48" i="74"/>
  <c r="R43" i="74"/>
  <c r="R35" i="74"/>
  <c r="R31" i="74"/>
  <c r="R24" i="74"/>
  <c r="R16" i="74"/>
  <c r="R78" i="74"/>
  <c r="R50" i="74"/>
  <c r="R45" i="74"/>
  <c r="R41" i="74"/>
  <c r="R29" i="74"/>
  <c r="R34" i="74"/>
  <c r="F60" i="74"/>
  <c r="F64" i="74"/>
  <c r="R70" i="74"/>
  <c r="F81" i="74"/>
  <c r="P12" i="77"/>
  <c r="F30" i="77"/>
  <c r="F44" i="77"/>
  <c r="Z62" i="77"/>
  <c r="X62" i="77"/>
  <c r="F75" i="77"/>
  <c r="R30" i="78"/>
  <c r="R24" i="78"/>
  <c r="R20" i="78"/>
  <c r="X12" i="78"/>
  <c r="R33" i="78"/>
  <c r="R26" i="78"/>
  <c r="R16" i="78"/>
  <c r="R22" i="78"/>
  <c r="R19" i="78"/>
  <c r="P16" i="78"/>
  <c r="R18" i="78"/>
  <c r="R28" i="78"/>
  <c r="R21" i="78"/>
  <c r="R14" i="78"/>
  <c r="N19" i="82"/>
  <c r="L19" i="82"/>
  <c r="R17" i="71"/>
  <c r="J22" i="71"/>
  <c r="V24" i="71"/>
  <c r="R25" i="71"/>
  <c r="J28" i="71"/>
  <c r="V36" i="71"/>
  <c r="R37" i="71"/>
  <c r="J40" i="71"/>
  <c r="J44" i="71"/>
  <c r="V48" i="71"/>
  <c r="J52" i="71"/>
  <c r="R54" i="71"/>
  <c r="V56" i="71"/>
  <c r="R57" i="71"/>
  <c r="V60" i="71"/>
  <c r="R61" i="71"/>
  <c r="R68" i="71"/>
  <c r="J22" i="72"/>
  <c r="R24" i="72"/>
  <c r="J25" i="73"/>
  <c r="J21" i="73"/>
  <c r="J16" i="73"/>
  <c r="T19" i="73"/>
  <c r="F16" i="74"/>
  <c r="F21" i="74"/>
  <c r="X24" i="74"/>
  <c r="Z24" i="74" s="1"/>
  <c r="R25" i="74"/>
  <c r="F28" i="74"/>
  <c r="F29" i="74"/>
  <c r="R33" i="74"/>
  <c r="F38" i="74"/>
  <c r="F45" i="74"/>
  <c r="J51" i="74"/>
  <c r="F68" i="74"/>
  <c r="F72" i="74"/>
  <c r="N25" i="75"/>
  <c r="J32" i="75"/>
  <c r="J36" i="75"/>
  <c r="N77" i="75"/>
  <c r="N24" i="76"/>
  <c r="L12" i="79"/>
  <c r="V40" i="74"/>
  <c r="V44" i="74"/>
  <c r="V56" i="74"/>
  <c r="R20" i="75"/>
  <c r="V27" i="75"/>
  <c r="R28" i="75"/>
  <c r="V39" i="75"/>
  <c r="R40" i="75"/>
  <c r="V51" i="75"/>
  <c r="V59" i="75"/>
  <c r="V67" i="75"/>
  <c r="R68" i="75"/>
  <c r="V71" i="75"/>
  <c r="R72" i="75"/>
  <c r="V75" i="75"/>
  <c r="R76" i="75"/>
  <c r="V85" i="75"/>
  <c r="V91" i="75"/>
  <c r="V18" i="76"/>
  <c r="J22" i="76"/>
  <c r="V26" i="76"/>
  <c r="V32" i="76"/>
  <c r="N12" i="77"/>
  <c r="J20" i="77"/>
  <c r="T23" i="77"/>
  <c r="J28" i="77"/>
  <c r="V32" i="77"/>
  <c r="V35" i="77"/>
  <c r="J43" i="77"/>
  <c r="J53" i="77"/>
  <c r="V55" i="77"/>
  <c r="V58" i="77"/>
  <c r="J61" i="77"/>
  <c r="J85" i="77"/>
  <c r="Z42" i="79"/>
  <c r="P70" i="79"/>
  <c r="X70" i="79" s="1"/>
  <c r="X71" i="79"/>
  <c r="Z19" i="80"/>
  <c r="X16" i="81"/>
  <c r="H92" i="83"/>
  <c r="T21" i="74"/>
  <c r="V30" i="74"/>
  <c r="V34" i="74"/>
  <c r="V42" i="74"/>
  <c r="V50" i="74"/>
  <c r="V54" i="74"/>
  <c r="V62" i="74"/>
  <c r="V66" i="74"/>
  <c r="V70" i="74"/>
  <c r="V78" i="74"/>
  <c r="P22" i="75"/>
  <c r="V29" i="75"/>
  <c r="R30" i="75"/>
  <c r="R35" i="75"/>
  <c r="V41" i="75"/>
  <c r="R42" i="75"/>
  <c r="V49" i="75"/>
  <c r="V57" i="75"/>
  <c r="V65" i="75"/>
  <c r="R66" i="75"/>
  <c r="V69" i="75"/>
  <c r="R79" i="75"/>
  <c r="V24" i="76"/>
  <c r="V80" i="77"/>
  <c r="V72" i="77"/>
  <c r="V56" i="77"/>
  <c r="V48" i="77"/>
  <c r="V44" i="77"/>
  <c r="V36" i="77"/>
  <c r="V79" i="77"/>
  <c r="V59" i="77"/>
  <c r="V47" i="77"/>
  <c r="V43" i="77"/>
  <c r="V81" i="77"/>
  <c r="V77" i="77"/>
  <c r="V69" i="77"/>
  <c r="V61" i="77"/>
  <c r="V49" i="77"/>
  <c r="V41" i="77"/>
  <c r="V84" i="77"/>
  <c r="V76" i="77"/>
  <c r="V68" i="77"/>
  <c r="V64" i="77"/>
  <c r="V60" i="77"/>
  <c r="V52" i="77"/>
  <c r="V40" i="77"/>
  <c r="V92" i="77"/>
  <c r="V86" i="77"/>
  <c r="V74" i="77"/>
  <c r="V70" i="77"/>
  <c r="V66" i="77"/>
  <c r="V62" i="77"/>
  <c r="V54" i="77"/>
  <c r="V46" i="77"/>
  <c r="V38" i="77"/>
  <c r="V18" i="77"/>
  <c r="H23" i="77"/>
  <c r="J23" i="77" s="1"/>
  <c r="V26" i="77"/>
  <c r="J30" i="77"/>
  <c r="J38" i="77"/>
  <c r="V39" i="77"/>
  <c r="J46" i="77"/>
  <c r="J59" i="77"/>
  <c r="N60" i="77"/>
  <c r="J69" i="77"/>
  <c r="J74" i="77"/>
  <c r="V75" i="77"/>
  <c r="J21" i="81"/>
  <c r="H16" i="81"/>
  <c r="J35" i="81"/>
  <c r="J28" i="81"/>
  <c r="J23" i="81"/>
  <c r="J20" i="81"/>
  <c r="J18" i="81"/>
  <c r="J14" i="81"/>
  <c r="N12" i="81"/>
  <c r="J19" i="81"/>
  <c r="J24" i="81"/>
  <c r="V51" i="74"/>
  <c r="V59" i="74"/>
  <c r="V63" i="74"/>
  <c r="V67" i="74"/>
  <c r="V71" i="74"/>
  <c r="V75" i="74"/>
  <c r="V79" i="74"/>
  <c r="V85" i="74"/>
  <c r="R22" i="75"/>
  <c r="R31" i="75"/>
  <c r="R43" i="75"/>
  <c r="R47" i="75"/>
  <c r="R52" i="75"/>
  <c r="R55" i="75"/>
  <c r="R60" i="75"/>
  <c r="R63" i="75"/>
  <c r="V66" i="75"/>
  <c r="V82" i="75"/>
  <c r="R83" i="75"/>
  <c r="R89" i="75"/>
  <c r="V19" i="77"/>
  <c r="V27" i="77"/>
  <c r="J31" i="77"/>
  <c r="J47" i="77"/>
  <c r="V50" i="77"/>
  <c r="V53" i="77"/>
  <c r="J60" i="77"/>
  <c r="J65" i="77"/>
  <c r="V78" i="77"/>
  <c r="V85" i="77"/>
  <c r="L18" i="78"/>
  <c r="L24" i="78"/>
  <c r="X14" i="79"/>
  <c r="Z49" i="79"/>
  <c r="V34" i="80"/>
  <c r="J26" i="81"/>
  <c r="J22" i="82"/>
  <c r="V94" i="83"/>
  <c r="V82" i="83"/>
  <c r="V78" i="83"/>
  <c r="V70" i="83"/>
  <c r="V66" i="83"/>
  <c r="V62" i="83"/>
  <c r="V54" i="83"/>
  <c r="V46" i="83"/>
  <c r="V85" i="83"/>
  <c r="V81" i="83"/>
  <c r="V77" i="83"/>
  <c r="V73" i="83"/>
  <c r="V69" i="83"/>
  <c r="V65" i="83"/>
  <c r="V57" i="83"/>
  <c r="V53" i="83"/>
  <c r="V45" i="83"/>
  <c r="V84" i="83"/>
  <c r="V76" i="83"/>
  <c r="V72" i="83"/>
  <c r="V68" i="83"/>
  <c r="V64" i="83"/>
  <c r="V56" i="83"/>
  <c r="V48" i="83"/>
  <c r="V44" i="83"/>
  <c r="V87" i="83"/>
  <c r="V75" i="83"/>
  <c r="V90" i="83"/>
  <c r="V86" i="83"/>
  <c r="V74" i="83"/>
  <c r="V80" i="83"/>
  <c r="V60" i="83"/>
  <c r="V52" i="83"/>
  <c r="V89" i="83"/>
  <c r="V83" i="83"/>
  <c r="V79" i="83"/>
  <c r="V71" i="83"/>
  <c r="V63" i="83"/>
  <c r="V55" i="83"/>
  <c r="V51" i="83"/>
  <c r="V37" i="83"/>
  <c r="V33" i="83"/>
  <c r="V36" i="83"/>
  <c r="V32" i="83"/>
  <c r="T23" i="83"/>
  <c r="V23" i="83" s="1"/>
  <c r="V47" i="83"/>
  <c r="V31" i="83"/>
  <c r="V58" i="83"/>
  <c r="V30" i="83"/>
  <c r="V49" i="83"/>
  <c r="V29" i="83"/>
  <c r="V25" i="83"/>
  <c r="V21" i="83"/>
  <c r="V61" i="83"/>
  <c r="V43" i="83"/>
  <c r="V42" i="83"/>
  <c r="V41" i="83"/>
  <c r="V39" i="83"/>
  <c r="V35" i="83"/>
  <c r="V27" i="83"/>
  <c r="V19" i="83"/>
  <c r="V59" i="83"/>
  <c r="J21" i="86"/>
  <c r="H16" i="86"/>
  <c r="J30" i="86"/>
  <c r="J24" i="86"/>
  <c r="J20" i="86"/>
  <c r="J18" i="86"/>
  <c r="J14" i="86"/>
  <c r="N12" i="86"/>
  <c r="J19" i="86"/>
  <c r="J16" i="86"/>
  <c r="J33" i="86"/>
  <c r="J28" i="86"/>
  <c r="J22" i="86"/>
  <c r="J26" i="86"/>
  <c r="V60" i="74"/>
  <c r="V64" i="74"/>
  <c r="V68" i="74"/>
  <c r="V72" i="74"/>
  <c r="V76" i="74"/>
  <c r="R17" i="75"/>
  <c r="R25" i="75"/>
  <c r="R32" i="75"/>
  <c r="R36" i="75"/>
  <c r="R44" i="75"/>
  <c r="R73" i="75"/>
  <c r="R77" i="75"/>
  <c r="V79" i="75"/>
  <c r="R80" i="75"/>
  <c r="V83" i="75"/>
  <c r="V87" i="75"/>
  <c r="V89" i="75"/>
  <c r="X60" i="77"/>
  <c r="Z60" i="77" s="1"/>
  <c r="X70" i="77"/>
  <c r="Z70" i="77" s="1"/>
  <c r="J77" i="77"/>
  <c r="N81" i="77"/>
  <c r="V82" i="77"/>
  <c r="P30" i="80"/>
  <c r="L19" i="80"/>
  <c r="L21" i="80"/>
  <c r="N19" i="81"/>
  <c r="J32" i="81"/>
  <c r="J28" i="82"/>
  <c r="N25" i="83"/>
  <c r="V34" i="83"/>
  <c r="V38" i="83"/>
  <c r="H90" i="84"/>
  <c r="V17" i="74"/>
  <c r="V25" i="74"/>
  <c r="V37" i="74"/>
  <c r="V49" i="74"/>
  <c r="V57" i="74"/>
  <c r="V73" i="74"/>
  <c r="V77" i="74"/>
  <c r="V22" i="75"/>
  <c r="V32" i="75"/>
  <c r="R33" i="75"/>
  <c r="V36" i="75"/>
  <c r="R37" i="75"/>
  <c r="V44" i="75"/>
  <c r="R45" i="75"/>
  <c r="R50" i="75"/>
  <c r="V52" i="75"/>
  <c r="R53" i="75"/>
  <c r="R58" i="75"/>
  <c r="V60" i="75"/>
  <c r="R61" i="75"/>
  <c r="R70" i="75"/>
  <c r="V80" i="75"/>
  <c r="R81" i="75"/>
  <c r="P12" i="76"/>
  <c r="J19" i="76"/>
  <c r="T22" i="76"/>
  <c r="V21" i="77"/>
  <c r="V25" i="77"/>
  <c r="V29" i="77"/>
  <c r="J33" i="77"/>
  <c r="N36" i="77"/>
  <c r="X47" i="77"/>
  <c r="L62" i="77"/>
  <c r="N62" i="77" s="1"/>
  <c r="H16" i="78"/>
  <c r="N14" i="78"/>
  <c r="X16" i="79"/>
  <c r="P73" i="79"/>
  <c r="J30" i="81"/>
  <c r="J21" i="82"/>
  <c r="H16" i="82"/>
  <c r="J30" i="82"/>
  <c r="J24" i="82"/>
  <c r="J20" i="82"/>
  <c r="J18" i="82"/>
  <c r="J14" i="82"/>
  <c r="N12" i="82"/>
  <c r="J19" i="82"/>
  <c r="X25" i="83"/>
  <c r="Z25" i="83" s="1"/>
  <c r="V26" i="74"/>
  <c r="V38" i="74"/>
  <c r="V46" i="74"/>
  <c r="V58" i="74"/>
  <c r="X12" i="75"/>
  <c r="Z12" i="75" s="1"/>
  <c r="R18" i="75"/>
  <c r="V25" i="75"/>
  <c r="R26" i="75"/>
  <c r="V33" i="75"/>
  <c r="R34" i="75"/>
  <c r="V37" i="75"/>
  <c r="R38" i="75"/>
  <c r="V45" i="75"/>
  <c r="V53" i="75"/>
  <c r="V61" i="75"/>
  <c r="R67" i="75"/>
  <c r="V73" i="75"/>
  <c r="R74" i="75"/>
  <c r="V77" i="75"/>
  <c r="R78" i="75"/>
  <c r="R85" i="75"/>
  <c r="J20" i="76"/>
  <c r="J28" i="76"/>
  <c r="J88" i="77"/>
  <c r="J84" i="77"/>
  <c r="J76" i="77"/>
  <c r="J68" i="77"/>
  <c r="J64" i="77"/>
  <c r="J58" i="77"/>
  <c r="J52" i="77"/>
  <c r="J40" i="77"/>
  <c r="J81" i="77"/>
  <c r="J75" i="77"/>
  <c r="J71" i="77"/>
  <c r="J67" i="77"/>
  <c r="J63" i="77"/>
  <c r="J55" i="77"/>
  <c r="J49" i="77"/>
  <c r="J39" i="77"/>
  <c r="J83" i="77"/>
  <c r="J73" i="77"/>
  <c r="J57" i="77"/>
  <c r="J51" i="77"/>
  <c r="J45" i="77"/>
  <c r="J37" i="77"/>
  <c r="J80" i="77"/>
  <c r="J70" i="77"/>
  <c r="J62" i="77"/>
  <c r="J48" i="77"/>
  <c r="J44" i="77"/>
  <c r="J82" i="77"/>
  <c r="J78" i="77"/>
  <c r="J72" i="77"/>
  <c r="J56" i="77"/>
  <c r="J50" i="77"/>
  <c r="J42" i="77"/>
  <c r="J36" i="77"/>
  <c r="V30" i="77"/>
  <c r="J34" i="77"/>
  <c r="V37" i="77"/>
  <c r="V45" i="77"/>
  <c r="V51" i="77"/>
  <c r="J54" i="77"/>
  <c r="V57" i="77"/>
  <c r="V65" i="77"/>
  <c r="N72" i="77"/>
  <c r="V73" i="77"/>
  <c r="J79" i="77"/>
  <c r="V83" i="77"/>
  <c r="J86" i="77"/>
  <c r="J92" i="77"/>
  <c r="L14" i="79"/>
  <c r="L18" i="79"/>
  <c r="N18" i="79" s="1"/>
  <c r="Z40" i="79"/>
  <c r="N42" i="79"/>
  <c r="V21" i="80"/>
  <c r="T16" i="80"/>
  <c r="V24" i="80"/>
  <c r="V23" i="80"/>
  <c r="V37" i="80"/>
  <c r="V32" i="80"/>
  <c r="V30" i="80"/>
  <c r="V26" i="80"/>
  <c r="V18" i="80"/>
  <c r="V14" i="80"/>
  <c r="V25" i="80"/>
  <c r="V19" i="80"/>
  <c r="X12" i="80"/>
  <c r="N19" i="80"/>
  <c r="V20" i="80"/>
  <c r="J16" i="81"/>
  <c r="V26" i="83"/>
  <c r="J18" i="78"/>
  <c r="J20" i="78"/>
  <c r="J24" i="78"/>
  <c r="J30" i="78"/>
  <c r="V14" i="79"/>
  <c r="V18" i="79"/>
  <c r="V22" i="79"/>
  <c r="R23" i="79"/>
  <c r="J26" i="79"/>
  <c r="J30" i="79"/>
  <c r="V34" i="79"/>
  <c r="R35" i="79"/>
  <c r="J38" i="79"/>
  <c r="R40" i="79"/>
  <c r="V42" i="79"/>
  <c r="R43" i="79"/>
  <c r="V46" i="79"/>
  <c r="J50" i="79"/>
  <c r="V54" i="79"/>
  <c r="R55" i="79"/>
  <c r="V58" i="79"/>
  <c r="R59" i="79"/>
  <c r="V62" i="79"/>
  <c r="J66" i="79"/>
  <c r="J70" i="79"/>
  <c r="R71" i="79"/>
  <c r="H16" i="80"/>
  <c r="J21" i="80"/>
  <c r="F24" i="80"/>
  <c r="F22" i="81"/>
  <c r="R23" i="81"/>
  <c r="P28" i="81"/>
  <c r="F22" i="82"/>
  <c r="F28" i="82"/>
  <c r="J23" i="83"/>
  <c r="J31" i="83"/>
  <c r="J46" i="83"/>
  <c r="J57" i="83"/>
  <c r="J65" i="83"/>
  <c r="N72" i="83"/>
  <c r="Z86" i="83"/>
  <c r="F16" i="78"/>
  <c r="V16" i="78"/>
  <c r="V22" i="78"/>
  <c r="F26" i="78"/>
  <c r="V26" i="78"/>
  <c r="V28" i="78"/>
  <c r="F33" i="78"/>
  <c r="V33" i="78"/>
  <c r="R16" i="79"/>
  <c r="J18" i="79"/>
  <c r="J20" i="79"/>
  <c r="V24" i="79"/>
  <c r="R25" i="79"/>
  <c r="J28" i="79"/>
  <c r="J32" i="79"/>
  <c r="V36" i="79"/>
  <c r="R37" i="79"/>
  <c r="V40" i="79"/>
  <c r="R41" i="79"/>
  <c r="J42" i="79"/>
  <c r="V44" i="79"/>
  <c r="J48" i="79"/>
  <c r="V52" i="79"/>
  <c r="V56" i="79"/>
  <c r="V60" i="79"/>
  <c r="J64" i="79"/>
  <c r="X67" i="79"/>
  <c r="Z67" i="79" s="1"/>
  <c r="V68" i="79"/>
  <c r="J19" i="80"/>
  <c r="F22" i="80"/>
  <c r="R23" i="80"/>
  <c r="F25" i="80"/>
  <c r="R26" i="80"/>
  <c r="R32" i="80"/>
  <c r="L12" i="81"/>
  <c r="F20" i="81"/>
  <c r="R21" i="81"/>
  <c r="F23" i="81"/>
  <c r="V23" i="81"/>
  <c r="R24" i="81"/>
  <c r="R30" i="81"/>
  <c r="L12" i="82"/>
  <c r="P16" i="82"/>
  <c r="F20" i="82"/>
  <c r="R21" i="82"/>
  <c r="D12" i="83"/>
  <c r="J33" i="83"/>
  <c r="Z58" i="83"/>
  <c r="Z72" i="83"/>
  <c r="X60" i="84"/>
  <c r="Z60" i="84" s="1"/>
  <c r="F19" i="78"/>
  <c r="V19" i="78"/>
  <c r="J21" i="78"/>
  <c r="T16" i="79"/>
  <c r="R19" i="79"/>
  <c r="J21" i="79"/>
  <c r="V25" i="79"/>
  <c r="R26" i="79"/>
  <c r="V29" i="79"/>
  <c r="R30" i="79"/>
  <c r="J33" i="79"/>
  <c r="V37" i="79"/>
  <c r="R38" i="79"/>
  <c r="V41" i="79"/>
  <c r="R47" i="79"/>
  <c r="V49" i="79"/>
  <c r="R50" i="79"/>
  <c r="J51" i="79"/>
  <c r="R63" i="79"/>
  <c r="V65" i="79"/>
  <c r="R66" i="79"/>
  <c r="J67" i="79"/>
  <c r="R73" i="79"/>
  <c r="J77" i="79"/>
  <c r="R80" i="79"/>
  <c r="J22" i="80"/>
  <c r="F30" i="80"/>
  <c r="F37" i="80"/>
  <c r="F28" i="81"/>
  <c r="F35" i="81"/>
  <c r="J84" i="83"/>
  <c r="J72" i="83"/>
  <c r="J64" i="83"/>
  <c r="J56" i="83"/>
  <c r="J50" i="83"/>
  <c r="J90" i="83"/>
  <c r="J67" i="83"/>
  <c r="J61" i="83"/>
  <c r="J47" i="83"/>
  <c r="J41" i="83"/>
  <c r="J86" i="83"/>
  <c r="J80" i="83"/>
  <c r="J74" i="83"/>
  <c r="J58" i="83"/>
  <c r="J52" i="83"/>
  <c r="J83" i="83"/>
  <c r="J79" i="83"/>
  <c r="J94" i="83"/>
  <c r="J82" i="83"/>
  <c r="J78" i="83"/>
  <c r="J70" i="83"/>
  <c r="J92" i="83"/>
  <c r="J76" i="83"/>
  <c r="J68" i="83"/>
  <c r="J62" i="83"/>
  <c r="J48" i="83"/>
  <c r="J44" i="83"/>
  <c r="J87" i="83"/>
  <c r="J81" i="83"/>
  <c r="J75" i="83"/>
  <c r="J59" i="83"/>
  <c r="J53" i="83"/>
  <c r="J43" i="83"/>
  <c r="J34" i="83"/>
  <c r="J38" i="83"/>
  <c r="Z22" i="84"/>
  <c r="Z65" i="84"/>
  <c r="N44" i="88"/>
  <c r="L44" i="88"/>
  <c r="J26" i="78"/>
  <c r="J33" i="78"/>
  <c r="V16" i="79"/>
  <c r="J22" i="79"/>
  <c r="V26" i="79"/>
  <c r="R27" i="79"/>
  <c r="V30" i="79"/>
  <c r="R31" i="79"/>
  <c r="J34" i="79"/>
  <c r="V38" i="79"/>
  <c r="R39" i="79"/>
  <c r="J40" i="79"/>
  <c r="J46" i="79"/>
  <c r="V50" i="79"/>
  <c r="J54" i="79"/>
  <c r="J58" i="79"/>
  <c r="J62" i="79"/>
  <c r="V66" i="79"/>
  <c r="R70" i="79"/>
  <c r="J71" i="79"/>
  <c r="R75" i="79"/>
  <c r="L12" i="80"/>
  <c r="X14" i="80"/>
  <c r="F20" i="80"/>
  <c r="R21" i="80"/>
  <c r="F23" i="80"/>
  <c r="R24" i="80"/>
  <c r="J25" i="80"/>
  <c r="D16" i="81"/>
  <c r="T16" i="81"/>
  <c r="R19" i="81"/>
  <c r="F21" i="81"/>
  <c r="V21" i="81"/>
  <c r="R22" i="81"/>
  <c r="D16" i="82"/>
  <c r="T16" i="82"/>
  <c r="R19" i="82"/>
  <c r="F21" i="82"/>
  <c r="V21" i="82"/>
  <c r="R22" i="82"/>
  <c r="R28" i="82"/>
  <c r="J19" i="83"/>
  <c r="J25" i="83"/>
  <c r="J27" i="83"/>
  <c r="J35" i="83"/>
  <c r="J39" i="83"/>
  <c r="J42" i="83"/>
  <c r="J55" i="83"/>
  <c r="J63" i="83"/>
  <c r="J73" i="83"/>
  <c r="J20" i="84"/>
  <c r="Z46" i="84"/>
  <c r="R49" i="85"/>
  <c r="R37" i="85"/>
  <c r="R29" i="85"/>
  <c r="R25" i="85"/>
  <c r="R16" i="85"/>
  <c r="R55" i="85"/>
  <c r="R45" i="85"/>
  <c r="R40" i="85"/>
  <c r="R36" i="85"/>
  <c r="R24" i="85"/>
  <c r="P16" i="85"/>
  <c r="R35" i="85"/>
  <c r="R28" i="85"/>
  <c r="R23" i="85"/>
  <c r="R42" i="85"/>
  <c r="R39" i="85"/>
  <c r="R34" i="85"/>
  <c r="R22" i="85"/>
  <c r="R53" i="85"/>
  <c r="R48" i="85"/>
  <c r="R33" i="85"/>
  <c r="R21" i="85"/>
  <c r="R18" i="85"/>
  <c r="R14" i="85"/>
  <c r="R31" i="85"/>
  <c r="R58" i="85"/>
  <c r="R43" i="85"/>
  <c r="R19" i="85"/>
  <c r="R32" i="85"/>
  <c r="R46" i="85"/>
  <c r="R44" i="85"/>
  <c r="R20" i="85"/>
  <c r="X12" i="85"/>
  <c r="R51" i="85"/>
  <c r="R41" i="85"/>
  <c r="R30" i="85"/>
  <c r="R26" i="85"/>
  <c r="F22" i="78"/>
  <c r="F28" i="78"/>
  <c r="V19" i="79"/>
  <c r="R20" i="79"/>
  <c r="J23" i="79"/>
  <c r="V27" i="79"/>
  <c r="R28" i="79"/>
  <c r="J29" i="79"/>
  <c r="V31" i="79"/>
  <c r="R32" i="79"/>
  <c r="J35" i="79"/>
  <c r="V39" i="79"/>
  <c r="J43" i="79"/>
  <c r="R45" i="79"/>
  <c r="V47" i="79"/>
  <c r="R48" i="79"/>
  <c r="J49" i="79"/>
  <c r="R53" i="79"/>
  <c r="J55" i="79"/>
  <c r="R57" i="79"/>
  <c r="J59" i="79"/>
  <c r="R61" i="79"/>
  <c r="V63" i="79"/>
  <c r="R64" i="79"/>
  <c r="J65" i="79"/>
  <c r="V73" i="79"/>
  <c r="V75" i="79"/>
  <c r="V80" i="79"/>
  <c r="N12" i="80"/>
  <c r="J14" i="80"/>
  <c r="J18" i="80"/>
  <c r="J20" i="80"/>
  <c r="R28" i="80"/>
  <c r="J30" i="80"/>
  <c r="R34" i="80"/>
  <c r="J37" i="80"/>
  <c r="F16" i="81"/>
  <c r="V16" i="81"/>
  <c r="V22" i="81"/>
  <c r="R26" i="81"/>
  <c r="R32" i="81"/>
  <c r="F16" i="82"/>
  <c r="V16" i="82"/>
  <c r="V22" i="82"/>
  <c r="F26" i="82"/>
  <c r="V26" i="82"/>
  <c r="V28" i="82"/>
  <c r="F33" i="82"/>
  <c r="V33" i="82"/>
  <c r="J20" i="83"/>
  <c r="J28" i="83"/>
  <c r="J40" i="83"/>
  <c r="J54" i="83"/>
  <c r="X74" i="83"/>
  <c r="Z74" i="83" s="1"/>
  <c r="Z57" i="84"/>
  <c r="F14" i="78"/>
  <c r="V14" i="78"/>
  <c r="F18" i="78"/>
  <c r="V18" i="78"/>
  <c r="J22" i="78"/>
  <c r="F24" i="78"/>
  <c r="V24" i="78"/>
  <c r="Z12" i="79"/>
  <c r="R14" i="79"/>
  <c r="J16" i="79"/>
  <c r="R18" i="79"/>
  <c r="V20" i="79"/>
  <c r="R21" i="79"/>
  <c r="J24" i="79"/>
  <c r="V28" i="79"/>
  <c r="V32" i="79"/>
  <c r="R33" i="79"/>
  <c r="J36" i="79"/>
  <c r="J44" i="79"/>
  <c r="V48" i="79"/>
  <c r="J52" i="79"/>
  <c r="J56" i="79"/>
  <c r="J60" i="79"/>
  <c r="V64" i="79"/>
  <c r="D16" i="80"/>
  <c r="R19" i="80"/>
  <c r="F21" i="80"/>
  <c r="F26" i="80"/>
  <c r="X12" i="81"/>
  <c r="F19" i="81"/>
  <c r="F24" i="81"/>
  <c r="X12" i="82"/>
  <c r="P12" i="83"/>
  <c r="J21" i="83"/>
  <c r="J29" i="83"/>
  <c r="N49" i="83"/>
  <c r="L49" i="83"/>
  <c r="J51" i="83"/>
  <c r="Z56" i="83"/>
  <c r="L58" i="83"/>
  <c r="N60" i="83"/>
  <c r="Z64" i="83"/>
  <c r="N86" i="83"/>
  <c r="Z16" i="84"/>
  <c r="V16" i="84"/>
  <c r="T20" i="84"/>
  <c r="Z48" i="84"/>
  <c r="V48" i="84"/>
  <c r="R38" i="85"/>
  <c r="N17" i="87"/>
  <c r="H27" i="87"/>
  <c r="R76" i="84"/>
  <c r="R71" i="84"/>
  <c r="R88" i="84"/>
  <c r="R82" i="84"/>
  <c r="R79" i="84"/>
  <c r="R93" i="84"/>
  <c r="R81" i="84"/>
  <c r="R75" i="84"/>
  <c r="F18" i="84"/>
  <c r="D20" i="84"/>
  <c r="R23" i="84"/>
  <c r="F26" i="84"/>
  <c r="V29" i="84"/>
  <c r="R30" i="84"/>
  <c r="F33" i="84"/>
  <c r="V33" i="84"/>
  <c r="R34" i="84"/>
  <c r="J37" i="84"/>
  <c r="F38" i="84"/>
  <c r="V41" i="84"/>
  <c r="R42" i="84"/>
  <c r="V45" i="84"/>
  <c r="J49" i="84"/>
  <c r="F50" i="84"/>
  <c r="R51" i="84"/>
  <c r="F53" i="84"/>
  <c r="R54" i="84"/>
  <c r="J55" i="84"/>
  <c r="F58" i="84"/>
  <c r="J61" i="84"/>
  <c r="F62" i="84"/>
  <c r="X65" i="84"/>
  <c r="R78" i="84"/>
  <c r="F88" i="84"/>
  <c r="V16" i="85"/>
  <c r="V19" i="85"/>
  <c r="L17" i="87"/>
  <c r="V88" i="84"/>
  <c r="V82" i="84"/>
  <c r="V70" i="84"/>
  <c r="V66" i="84"/>
  <c r="V81" i="84"/>
  <c r="V75" i="84"/>
  <c r="V84" i="84"/>
  <c r="V78" i="84"/>
  <c r="V74" i="84"/>
  <c r="R16" i="84"/>
  <c r="J18" i="84"/>
  <c r="F20" i="84"/>
  <c r="V20" i="84"/>
  <c r="J26" i="84"/>
  <c r="F27" i="84"/>
  <c r="V30" i="84"/>
  <c r="R31" i="84"/>
  <c r="V34" i="84"/>
  <c r="R35" i="84"/>
  <c r="J38" i="84"/>
  <c r="F39" i="84"/>
  <c r="V42" i="84"/>
  <c r="R43" i="84"/>
  <c r="J44" i="84"/>
  <c r="F47" i="84"/>
  <c r="R48" i="84"/>
  <c r="J50" i="84"/>
  <c r="V54" i="84"/>
  <c r="J58" i="84"/>
  <c r="F59" i="84"/>
  <c r="R60" i="84"/>
  <c r="J62" i="84"/>
  <c r="F63" i="84"/>
  <c r="R65" i="84"/>
  <c r="J67" i="84"/>
  <c r="J75" i="84"/>
  <c r="R80" i="84"/>
  <c r="N19" i="86"/>
  <c r="F45" i="84"/>
  <c r="R46" i="84"/>
  <c r="F48" i="84"/>
  <c r="R49" i="84"/>
  <c r="F60" i="84"/>
  <c r="V60" i="84"/>
  <c r="R61" i="84"/>
  <c r="J64" i="84"/>
  <c r="F65" i="84"/>
  <c r="V65" i="84"/>
  <c r="J68" i="84"/>
  <c r="J69" i="84"/>
  <c r="F70" i="84"/>
  <c r="F71" i="84"/>
  <c r="J73" i="84"/>
  <c r="V77" i="84"/>
  <c r="J86" i="84"/>
  <c r="V40" i="85"/>
  <c r="V36" i="85"/>
  <c r="V28" i="85"/>
  <c r="V24" i="85"/>
  <c r="V39" i="85"/>
  <c r="V35" i="85"/>
  <c r="V23" i="85"/>
  <c r="V48" i="85"/>
  <c r="V42" i="85"/>
  <c r="V34" i="85"/>
  <c r="V22" i="85"/>
  <c r="V18" i="85"/>
  <c r="V14" i="85"/>
  <c r="V58" i="85"/>
  <c r="V53" i="85"/>
  <c r="V51" i="85"/>
  <c r="V41" i="85"/>
  <c r="V33" i="85"/>
  <c r="V21" i="85"/>
  <c r="V44" i="85"/>
  <c r="V32" i="85"/>
  <c r="V20" i="85"/>
  <c r="Z12" i="85"/>
  <c r="V46" i="85"/>
  <c r="V38" i="85"/>
  <c r="V30" i="85"/>
  <c r="V26" i="85"/>
  <c r="V27" i="85"/>
  <c r="V55" i="85"/>
  <c r="T33" i="86"/>
  <c r="P57" i="88"/>
  <c r="X19" i="88"/>
  <c r="Z19" i="88" s="1"/>
  <c r="F93" i="84"/>
  <c r="F86" i="84"/>
  <c r="F75" i="84"/>
  <c r="F81" i="84"/>
  <c r="F78" i="84"/>
  <c r="F74" i="84"/>
  <c r="F80" i="84"/>
  <c r="F90" i="84"/>
  <c r="F84" i="84"/>
  <c r="R18" i="84"/>
  <c r="J23" i="84"/>
  <c r="V25" i="84"/>
  <c r="R26" i="84"/>
  <c r="J29" i="84"/>
  <c r="F30" i="84"/>
  <c r="F34" i="84"/>
  <c r="V37" i="84"/>
  <c r="R38" i="84"/>
  <c r="J41" i="84"/>
  <c r="F42" i="84"/>
  <c r="J45" i="84"/>
  <c r="V49" i="84"/>
  <c r="R50" i="84"/>
  <c r="J51" i="84"/>
  <c r="F54" i="84"/>
  <c r="R55" i="84"/>
  <c r="F57" i="84"/>
  <c r="V57" i="84"/>
  <c r="R58" i="84"/>
  <c r="V61" i="84"/>
  <c r="R62" i="84"/>
  <c r="R67" i="84"/>
  <c r="J70" i="84"/>
  <c r="J71" i="84"/>
  <c r="V76" i="84"/>
  <c r="L16" i="85"/>
  <c r="V25" i="85"/>
  <c r="V37" i="85"/>
  <c r="P27" i="87"/>
  <c r="T17" i="87"/>
  <c r="Z19" i="87"/>
  <c r="D27" i="87"/>
  <c r="H61" i="88"/>
  <c r="J78" i="84"/>
  <c r="J74" i="84"/>
  <c r="J77" i="84"/>
  <c r="J90" i="84"/>
  <c r="J88" i="84"/>
  <c r="J82" i="84"/>
  <c r="J76" i="84"/>
  <c r="J16" i="84"/>
  <c r="V18" i="84"/>
  <c r="F22" i="84"/>
  <c r="V22" i="84"/>
  <c r="V26" i="84"/>
  <c r="R27" i="84"/>
  <c r="J30" i="84"/>
  <c r="F31" i="84"/>
  <c r="J34" i="84"/>
  <c r="F35" i="84"/>
  <c r="V38" i="84"/>
  <c r="R39" i="84"/>
  <c r="J42" i="84"/>
  <c r="F43" i="84"/>
  <c r="R44" i="84"/>
  <c r="F46" i="84"/>
  <c r="V46" i="84"/>
  <c r="R47" i="84"/>
  <c r="J48" i="84"/>
  <c r="V50" i="84"/>
  <c r="J54" i="84"/>
  <c r="V58" i="84"/>
  <c r="R59" i="84"/>
  <c r="J60" i="84"/>
  <c r="V62" i="84"/>
  <c r="R63" i="84"/>
  <c r="R64" i="84"/>
  <c r="J65" i="84"/>
  <c r="R74" i="84"/>
  <c r="X76" i="84"/>
  <c r="Z76" i="84" s="1"/>
  <c r="F79" i="84"/>
  <c r="J84" i="84"/>
  <c r="R86" i="84"/>
  <c r="L12" i="84"/>
  <c r="N12" i="84" s="1"/>
  <c r="P20" i="84"/>
  <c r="F24" i="84"/>
  <c r="V27" i="84"/>
  <c r="R28" i="84"/>
  <c r="J31" i="84"/>
  <c r="F32" i="84"/>
  <c r="R33" i="84"/>
  <c r="J35" i="84"/>
  <c r="F36" i="84"/>
  <c r="V39" i="84"/>
  <c r="R40" i="84"/>
  <c r="J43" i="84"/>
  <c r="V47" i="84"/>
  <c r="F52" i="84"/>
  <c r="R53" i="84"/>
  <c r="F55" i="84"/>
  <c r="V55" i="84"/>
  <c r="R56" i="84"/>
  <c r="J57" i="84"/>
  <c r="V59" i="84"/>
  <c r="V63" i="84"/>
  <c r="V64" i="84"/>
  <c r="F66" i="84"/>
  <c r="L67" i="84"/>
  <c r="N67" i="84" s="1"/>
  <c r="V67" i="84"/>
  <c r="R68" i="84"/>
  <c r="R69" i="84"/>
  <c r="R72" i="84"/>
  <c r="R73" i="84"/>
  <c r="L76" i="84"/>
  <c r="N76" i="84" s="1"/>
  <c r="N79" i="84"/>
  <c r="L79" i="84"/>
  <c r="J80" i="84"/>
  <c r="F82" i="84"/>
  <c r="X84" i="84"/>
  <c r="H51" i="85"/>
  <c r="N16" i="85"/>
  <c r="V45" i="85"/>
  <c r="V34" i="87"/>
  <c r="V25" i="87"/>
  <c r="V19" i="87"/>
  <c r="V15" i="87"/>
  <c r="V31" i="87"/>
  <c r="V14" i="87"/>
  <c r="V21" i="87"/>
  <c r="V29" i="87"/>
  <c r="V27" i="87"/>
  <c r="V23" i="87"/>
  <c r="V17" i="87"/>
  <c r="X12" i="87"/>
  <c r="D89" i="83"/>
  <c r="L89" i="83" s="1"/>
  <c r="F17" i="84"/>
  <c r="R20" i="84"/>
  <c r="J22" i="84"/>
  <c r="J24" i="84"/>
  <c r="F25" i="84"/>
  <c r="V28" i="84"/>
  <c r="R29" i="84"/>
  <c r="J32" i="84"/>
  <c r="J36" i="84"/>
  <c r="F37" i="84"/>
  <c r="V40" i="84"/>
  <c r="R41" i="84"/>
  <c r="F44" i="84"/>
  <c r="V44" i="84"/>
  <c r="R45" i="84"/>
  <c r="J46" i="84"/>
  <c r="F49" i="84"/>
  <c r="J52" i="84"/>
  <c r="V56" i="84"/>
  <c r="F61" i="84"/>
  <c r="J66" i="84"/>
  <c r="F67" i="84"/>
  <c r="V68" i="84"/>
  <c r="V69" i="84"/>
  <c r="R70" i="84"/>
  <c r="V71" i="84"/>
  <c r="V72" i="84"/>
  <c r="V73" i="84"/>
  <c r="F76" i="84"/>
  <c r="F77" i="84"/>
  <c r="J79" i="84"/>
  <c r="J81" i="84"/>
  <c r="R84" i="84"/>
  <c r="R90" i="84"/>
  <c r="T16" i="85"/>
  <c r="Z19" i="85"/>
  <c r="X19" i="85"/>
  <c r="V31" i="85"/>
  <c r="V49" i="85"/>
  <c r="Z16" i="86"/>
  <c r="Z12" i="87"/>
  <c r="N18" i="88"/>
  <c r="N19" i="88"/>
  <c r="X18" i="89"/>
  <c r="Z18" i="89"/>
  <c r="X54" i="89"/>
  <c r="Z54" i="89"/>
  <c r="J34" i="85"/>
  <c r="J42" i="85"/>
  <c r="F22" i="86"/>
  <c r="F28" i="86"/>
  <c r="R64" i="88"/>
  <c r="P12" i="89"/>
  <c r="T23" i="89"/>
  <c r="Z25" i="89"/>
  <c r="X26" i="89"/>
  <c r="Z26" i="89"/>
  <c r="L56" i="89"/>
  <c r="N56" i="89" s="1"/>
  <c r="J61" i="89"/>
  <c r="J77" i="89"/>
  <c r="J79" i="89"/>
  <c r="P27" i="96"/>
  <c r="J29" i="88"/>
  <c r="R40" i="88"/>
  <c r="V41" i="88"/>
  <c r="R43" i="88"/>
  <c r="V49" i="88"/>
  <c r="V53" i="88"/>
  <c r="V64" i="88"/>
  <c r="J41" i="89"/>
  <c r="Z52" i="89"/>
  <c r="L14" i="90"/>
  <c r="N14" i="90" s="1"/>
  <c r="D12" i="90"/>
  <c r="J16" i="85"/>
  <c r="J24" i="85"/>
  <c r="F25" i="85"/>
  <c r="F29" i="85"/>
  <c r="J36" i="85"/>
  <c r="F37" i="85"/>
  <c r="J40" i="85"/>
  <c r="X43" i="85"/>
  <c r="L45" i="85"/>
  <c r="J49" i="85"/>
  <c r="L12" i="86"/>
  <c r="X14" i="86"/>
  <c r="P16" i="86"/>
  <c r="X18" i="86"/>
  <c r="Z18" i="86" s="1"/>
  <c r="F20" i="86"/>
  <c r="R21" i="86"/>
  <c r="X24" i="86"/>
  <c r="X20" i="87"/>
  <c r="Z20" i="87" s="1"/>
  <c r="L22" i="87"/>
  <c r="J27" i="87"/>
  <c r="F59" i="88"/>
  <c r="F53" i="88"/>
  <c r="F44" i="88"/>
  <c r="F41" i="88"/>
  <c r="F37" i="88"/>
  <c r="F47" i="88"/>
  <c r="F52" i="88"/>
  <c r="F49" i="88"/>
  <c r="F45" i="88"/>
  <c r="F40" i="88"/>
  <c r="F33" i="88"/>
  <c r="F21" i="88"/>
  <c r="F61" i="88"/>
  <c r="F55" i="88"/>
  <c r="F14" i="88"/>
  <c r="X14" i="88"/>
  <c r="T16" i="88"/>
  <c r="X16" i="88" s="1"/>
  <c r="F19" i="88"/>
  <c r="R22" i="88"/>
  <c r="R23" i="88"/>
  <c r="R26" i="88"/>
  <c r="R27" i="88"/>
  <c r="R28" i="88"/>
  <c r="N29" i="88"/>
  <c r="F30" i="88"/>
  <c r="F34" i="88"/>
  <c r="F38" i="88"/>
  <c r="Z42" i="88"/>
  <c r="V43" i="88"/>
  <c r="V45" i="88"/>
  <c r="R46" i="88"/>
  <c r="R51" i="88"/>
  <c r="R52" i="88"/>
  <c r="J40" i="89"/>
  <c r="J49" i="89"/>
  <c r="J50" i="89"/>
  <c r="J85" i="89"/>
  <c r="Z87" i="89"/>
  <c r="X87" i="89"/>
  <c r="V87" i="89"/>
  <c r="J19" i="85"/>
  <c r="J25" i="85"/>
  <c r="F26" i="85"/>
  <c r="J29" i="85"/>
  <c r="F30" i="85"/>
  <c r="J37" i="85"/>
  <c r="F38" i="85"/>
  <c r="F41" i="85"/>
  <c r="J43" i="85"/>
  <c r="F46" i="85"/>
  <c r="D48" i="85"/>
  <c r="L48" i="85" s="1"/>
  <c r="N48" i="85" s="1"/>
  <c r="F51" i="85"/>
  <c r="F58" i="85"/>
  <c r="Z14" i="86"/>
  <c r="R16" i="86"/>
  <c r="R26" i="86"/>
  <c r="R33" i="86"/>
  <c r="F14" i="87"/>
  <c r="J20" i="87"/>
  <c r="F23" i="87"/>
  <c r="F29" i="87"/>
  <c r="J50" i="88"/>
  <c r="J36" i="88"/>
  <c r="J64" i="88"/>
  <c r="J57" i="88"/>
  <c r="J43" i="88"/>
  <c r="J48" i="88"/>
  <c r="J42" i="88"/>
  <c r="J32" i="88"/>
  <c r="J28" i="88"/>
  <c r="J20" i="88"/>
  <c r="J18" i="88"/>
  <c r="J14" i="88"/>
  <c r="N12" i="88"/>
  <c r="J59" i="88"/>
  <c r="J53" i="88"/>
  <c r="D16" i="88"/>
  <c r="V22" i="88"/>
  <c r="V23" i="88"/>
  <c r="R24" i="88"/>
  <c r="V25" i="88"/>
  <c r="V26" i="88"/>
  <c r="V27" i="88"/>
  <c r="J30" i="88"/>
  <c r="F31" i="88"/>
  <c r="J33" i="88"/>
  <c r="J34" i="88"/>
  <c r="F35" i="88"/>
  <c r="J37" i="88"/>
  <c r="J38" i="88"/>
  <c r="F39" i="88"/>
  <c r="V42" i="88"/>
  <c r="Z50" i="88"/>
  <c r="Z37" i="89"/>
  <c r="X37" i="89"/>
  <c r="N64" i="89"/>
  <c r="J26" i="85"/>
  <c r="J30" i="85"/>
  <c r="J38" i="85"/>
  <c r="J46" i="85"/>
  <c r="F48" i="85"/>
  <c r="D16" i="86"/>
  <c r="R19" i="86"/>
  <c r="F21" i="86"/>
  <c r="R22" i="86"/>
  <c r="R28" i="86"/>
  <c r="X14" i="87"/>
  <c r="F57" i="88"/>
  <c r="N26" i="89"/>
  <c r="L48" i="89"/>
  <c r="N48" i="89" s="1"/>
  <c r="J78" i="89"/>
  <c r="Z66" i="90"/>
  <c r="V66" i="90"/>
  <c r="L12" i="85"/>
  <c r="F20" i="85"/>
  <c r="J27" i="85"/>
  <c r="J31" i="85"/>
  <c r="F32" i="85"/>
  <c r="F39" i="85"/>
  <c r="J41" i="85"/>
  <c r="F44" i="85"/>
  <c r="J51" i="85"/>
  <c r="J58" i="85"/>
  <c r="F16" i="86"/>
  <c r="V16" i="86"/>
  <c r="V22" i="86"/>
  <c r="F26" i="86"/>
  <c r="V26" i="86"/>
  <c r="V28" i="86"/>
  <c r="F33" i="86"/>
  <c r="V33" i="86"/>
  <c r="F21" i="87"/>
  <c r="R49" i="88"/>
  <c r="R45" i="88"/>
  <c r="R42" i="88"/>
  <c r="R33" i="88"/>
  <c r="R61" i="88"/>
  <c r="R55" i="88"/>
  <c r="R48" i="88"/>
  <c r="R59" i="88"/>
  <c r="R53" i="88"/>
  <c r="R50" i="88"/>
  <c r="R41" i="88"/>
  <c r="R37" i="88"/>
  <c r="R25" i="88"/>
  <c r="R16" i="88"/>
  <c r="Z18" i="88"/>
  <c r="N40" i="88"/>
  <c r="F42" i="88"/>
  <c r="R47" i="88"/>
  <c r="F64" i="88"/>
  <c r="D12" i="89"/>
  <c r="L52" i="89"/>
  <c r="N52" i="89" s="1"/>
  <c r="J53" i="89"/>
  <c r="Z54" i="91"/>
  <c r="N12" i="85"/>
  <c r="J14" i="85"/>
  <c r="J18" i="85"/>
  <c r="J20" i="85"/>
  <c r="F21" i="85"/>
  <c r="F28" i="85"/>
  <c r="J32" i="85"/>
  <c r="F33" i="85"/>
  <c r="J44" i="85"/>
  <c r="X12" i="86"/>
  <c r="R17" i="87"/>
  <c r="J19" i="87"/>
  <c r="J21" i="87"/>
  <c r="J25" i="87"/>
  <c r="V48" i="88"/>
  <c r="V44" i="88"/>
  <c r="V32" i="88"/>
  <c r="V28" i="88"/>
  <c r="V51" i="88"/>
  <c r="V47" i="88"/>
  <c r="V52" i="88"/>
  <c r="V40" i="88"/>
  <c r="V36" i="88"/>
  <c r="V24" i="88"/>
  <c r="V61" i="88"/>
  <c r="V55" i="88"/>
  <c r="J16" i="88"/>
  <c r="V18" i="88"/>
  <c r="F20" i="88"/>
  <c r="J21" i="88"/>
  <c r="F22" i="88"/>
  <c r="F23" i="88"/>
  <c r="F27" i="88"/>
  <c r="V29" i="88"/>
  <c r="R30" i="88"/>
  <c r="V33" i="88"/>
  <c r="R34" i="88"/>
  <c r="V37" i="88"/>
  <c r="R38" i="88"/>
  <c r="J40" i="88"/>
  <c r="J41" i="88"/>
  <c r="F43" i="88"/>
  <c r="F46" i="88"/>
  <c r="F50" i="88"/>
  <c r="F51" i="88"/>
  <c r="L52" i="88"/>
  <c r="J55" i="88"/>
  <c r="J84" i="89"/>
  <c r="J76" i="89"/>
  <c r="J72" i="89"/>
  <c r="J68" i="89"/>
  <c r="J62" i="89"/>
  <c r="J87" i="89"/>
  <c r="J83" i="89"/>
  <c r="J71" i="89"/>
  <c r="J91" i="89"/>
  <c r="J63" i="89"/>
  <c r="J59" i="89"/>
  <c r="J51" i="89"/>
  <c r="J43" i="89"/>
  <c r="J37" i="89"/>
  <c r="J31" i="89"/>
  <c r="J23" i="89"/>
  <c r="J66" i="89"/>
  <c r="J56" i="89"/>
  <c r="J48" i="89"/>
  <c r="J42" i="89"/>
  <c r="J30" i="89"/>
  <c r="H23" i="89"/>
  <c r="J65" i="89"/>
  <c r="J55" i="89"/>
  <c r="J47" i="89"/>
  <c r="J39" i="89"/>
  <c r="J35" i="89"/>
  <c r="J27" i="89"/>
  <c r="J25" i="89"/>
  <c r="J19" i="89"/>
  <c r="J81" i="89"/>
  <c r="J74" i="89"/>
  <c r="J73" i="89"/>
  <c r="J70" i="89"/>
  <c r="J64" i="89"/>
  <c r="J60" i="89"/>
  <c r="J52" i="89"/>
  <c r="J46" i="89"/>
  <c r="J38" i="89"/>
  <c r="J34" i="89"/>
  <c r="J69" i="89"/>
  <c r="J67" i="89"/>
  <c r="J54" i="89"/>
  <c r="J44" i="89"/>
  <c r="J32" i="89"/>
  <c r="J26" i="89"/>
  <c r="J18" i="89"/>
  <c r="J57" i="89"/>
  <c r="J58" i="89"/>
  <c r="J75" i="89"/>
  <c r="V28" i="89"/>
  <c r="V36" i="89"/>
  <c r="V40" i="89"/>
  <c r="V52" i="89"/>
  <c r="N66" i="89"/>
  <c r="V76" i="89"/>
  <c r="V77" i="89"/>
  <c r="V78" i="89"/>
  <c r="V80" i="90"/>
  <c r="V82" i="90"/>
  <c r="V78" i="90"/>
  <c r="V91" i="90"/>
  <c r="V85" i="90"/>
  <c r="V77" i="90"/>
  <c r="V73" i="90"/>
  <c r="V65" i="90"/>
  <c r="V57" i="90"/>
  <c r="V84" i="90"/>
  <c r="V76" i="90"/>
  <c r="V72" i="90"/>
  <c r="V68" i="90"/>
  <c r="V64" i="90"/>
  <c r="V56" i="90"/>
  <c r="V48" i="90"/>
  <c r="V79" i="90"/>
  <c r="V62" i="90"/>
  <c r="V53" i="90"/>
  <c r="V39" i="90"/>
  <c r="V35" i="90"/>
  <c r="V27" i="90"/>
  <c r="V19" i="90"/>
  <c r="V74" i="90"/>
  <c r="V47" i="90"/>
  <c r="V38" i="90"/>
  <c r="V34" i="90"/>
  <c r="V26" i="90"/>
  <c r="V75" i="90"/>
  <c r="V46" i="90"/>
  <c r="V37" i="90"/>
  <c r="V33" i="90"/>
  <c r="V23" i="90"/>
  <c r="V81" i="90"/>
  <c r="V60" i="90"/>
  <c r="V55" i="90"/>
  <c r="V51" i="90"/>
  <c r="V50" i="90"/>
  <c r="V45" i="90"/>
  <c r="V44" i="90"/>
  <c r="V32" i="90"/>
  <c r="T23" i="90"/>
  <c r="V83" i="90"/>
  <c r="V69" i="90"/>
  <c r="V61" i="90"/>
  <c r="V54" i="90"/>
  <c r="V43" i="90"/>
  <c r="V31" i="90"/>
  <c r="V87" i="90"/>
  <c r="V42" i="90"/>
  <c r="V30" i="90"/>
  <c r="V18" i="90"/>
  <c r="V71" i="90"/>
  <c r="V30" i="89"/>
  <c r="V42" i="89"/>
  <c r="V50" i="89"/>
  <c r="V58" i="89"/>
  <c r="Z62" i="89"/>
  <c r="X75" i="89"/>
  <c r="Z75" i="89" s="1"/>
  <c r="N26" i="90"/>
  <c r="V49" i="90"/>
  <c r="V31" i="89"/>
  <c r="V43" i="89"/>
  <c r="V51" i="89"/>
  <c r="V59" i="89"/>
  <c r="V62" i="89"/>
  <c r="V63" i="89"/>
  <c r="V66" i="89"/>
  <c r="N75" i="89"/>
  <c r="V83" i="89"/>
  <c r="N18" i="90"/>
  <c r="V21" i="90"/>
  <c r="V41" i="90"/>
  <c r="V59" i="90"/>
  <c r="L62" i="90"/>
  <c r="N62" i="90" s="1"/>
  <c r="V63" i="90"/>
  <c r="X66" i="90"/>
  <c r="V70" i="90"/>
  <c r="X54" i="91"/>
  <c r="V82" i="89"/>
  <c r="V84" i="89"/>
  <c r="V80" i="89"/>
  <c r="V60" i="89"/>
  <c r="V79" i="89"/>
  <c r="V18" i="89"/>
  <c r="V26" i="89"/>
  <c r="V34" i="89"/>
  <c r="V38" i="89"/>
  <c r="V46" i="89"/>
  <c r="V54" i="89"/>
  <c r="L62" i="89"/>
  <c r="N62" i="89" s="1"/>
  <c r="V72" i="89"/>
  <c r="V73" i="89"/>
  <c r="V74" i="89"/>
  <c r="H89" i="90"/>
  <c r="J23" i="90"/>
  <c r="Z25" i="90"/>
  <c r="V29" i="90"/>
  <c r="V36" i="90"/>
  <c r="Z48" i="90"/>
  <c r="V58" i="90"/>
  <c r="N82" i="90"/>
  <c r="L82" i="90"/>
  <c r="V19" i="89"/>
  <c r="V27" i="89"/>
  <c r="V35" i="89"/>
  <c r="V39" i="89"/>
  <c r="V47" i="89"/>
  <c r="V55" i="89"/>
  <c r="V61" i="89"/>
  <c r="V64" i="89"/>
  <c r="V65" i="89"/>
  <c r="V70" i="89"/>
  <c r="V71" i="89"/>
  <c r="V25" i="90"/>
  <c r="J82" i="90"/>
  <c r="J76" i="90"/>
  <c r="J72" i="90"/>
  <c r="J84" i="90"/>
  <c r="J70" i="90"/>
  <c r="J64" i="90"/>
  <c r="J81" i="90"/>
  <c r="J61" i="90"/>
  <c r="J53" i="90"/>
  <c r="J80" i="90"/>
  <c r="J74" i="90"/>
  <c r="J66" i="90"/>
  <c r="J58" i="90"/>
  <c r="J50" i="90"/>
  <c r="J34" i="90"/>
  <c r="J38" i="90"/>
  <c r="J47" i="90"/>
  <c r="N52" i="90"/>
  <c r="J56" i="90"/>
  <c r="J62" i="90"/>
  <c r="Z64" i="90"/>
  <c r="X84" i="90"/>
  <c r="J91" i="90"/>
  <c r="J27" i="91"/>
  <c r="J36" i="91"/>
  <c r="J53" i="91"/>
  <c r="J19" i="90"/>
  <c r="J25" i="90"/>
  <c r="J27" i="90"/>
  <c r="J35" i="90"/>
  <c r="J39" i="90"/>
  <c r="Z50" i="90"/>
  <c r="J52" i="90"/>
  <c r="J57" i="90"/>
  <c r="J73" i="90"/>
  <c r="N74" i="90"/>
  <c r="J32" i="91"/>
  <c r="V49" i="91"/>
  <c r="J81" i="91"/>
  <c r="F21" i="93"/>
  <c r="J40" i="90"/>
  <c r="J48" i="90"/>
  <c r="J59" i="90"/>
  <c r="J63" i="90"/>
  <c r="J67" i="90"/>
  <c r="L69" i="90"/>
  <c r="J71" i="90"/>
  <c r="J79" i="90"/>
  <c r="Z84" i="90"/>
  <c r="J18" i="91"/>
  <c r="V21" i="91"/>
  <c r="L25" i="91"/>
  <c r="J29" i="91"/>
  <c r="Z16" i="92"/>
  <c r="T24" i="92"/>
  <c r="P12" i="90"/>
  <c r="J21" i="90"/>
  <c r="J29" i="90"/>
  <c r="J41" i="90"/>
  <c r="L50" i="90"/>
  <c r="N50" i="90" s="1"/>
  <c r="X56" i="90"/>
  <c r="Z56" i="90" s="1"/>
  <c r="J65" i="90"/>
  <c r="N66" i="90"/>
  <c r="J68" i="90"/>
  <c r="Z74" i="90"/>
  <c r="J89" i="90"/>
  <c r="D12" i="91"/>
  <c r="V20" i="91"/>
  <c r="V45" i="91"/>
  <c r="J52" i="91"/>
  <c r="P71" i="93"/>
  <c r="R17" i="93"/>
  <c r="J42" i="90"/>
  <c r="J49" i="90"/>
  <c r="J54" i="90"/>
  <c r="N60" i="90"/>
  <c r="N69" i="90"/>
  <c r="J85" i="90"/>
  <c r="J87" i="90"/>
  <c r="J84" i="91"/>
  <c r="J80" i="91"/>
  <c r="J70" i="91"/>
  <c r="J66" i="91"/>
  <c r="J58" i="91"/>
  <c r="J79" i="91"/>
  <c r="J63" i="91"/>
  <c r="J55" i="91"/>
  <c r="J90" i="91"/>
  <c r="J86" i="91"/>
  <c r="J78" i="91"/>
  <c r="J74" i="91"/>
  <c r="J83" i="91"/>
  <c r="J77" i="91"/>
  <c r="J73" i="91"/>
  <c r="J69" i="91"/>
  <c r="J65" i="91"/>
  <c r="J57" i="91"/>
  <c r="J49" i="91"/>
  <c r="J45" i="91"/>
  <c r="J33" i="91"/>
  <c r="J94" i="91"/>
  <c r="J88" i="91"/>
  <c r="J76" i="91"/>
  <c r="J72" i="91"/>
  <c r="J68" i="91"/>
  <c r="J62" i="91"/>
  <c r="J54" i="91"/>
  <c r="J44" i="91"/>
  <c r="J85" i="91"/>
  <c r="J71" i="91"/>
  <c r="J67" i="91"/>
  <c r="J59" i="91"/>
  <c r="J51" i="91"/>
  <c r="J43" i="91"/>
  <c r="J37" i="91"/>
  <c r="J82" i="91"/>
  <c r="J64" i="91"/>
  <c r="J50" i="91"/>
  <c r="J42" i="91"/>
  <c r="J48" i="91"/>
  <c r="J26" i="91"/>
  <c r="J56" i="91"/>
  <c r="J47" i="91"/>
  <c r="J21" i="91"/>
  <c r="J46" i="91"/>
  <c r="J39" i="91"/>
  <c r="J20" i="91"/>
  <c r="J61" i="91"/>
  <c r="J60" i="91"/>
  <c r="J40" i="91"/>
  <c r="J38" i="91"/>
  <c r="J35" i="91"/>
  <c r="J25" i="91"/>
  <c r="J19" i="91"/>
  <c r="N25" i="91"/>
  <c r="J28" i="91"/>
  <c r="J31" i="91"/>
  <c r="J41" i="91"/>
  <c r="X48" i="91"/>
  <c r="Z48" i="91" s="1"/>
  <c r="J87" i="91"/>
  <c r="F66" i="93"/>
  <c r="F45" i="93"/>
  <c r="F60" i="93"/>
  <c r="F56" i="93"/>
  <c r="F53" i="93"/>
  <c r="F69" i="93"/>
  <c r="F47" i="93"/>
  <c r="F44" i="93"/>
  <c r="F36" i="93"/>
  <c r="F62" i="93"/>
  <c r="F59" i="93"/>
  <c r="F55" i="93"/>
  <c r="F50" i="93"/>
  <c r="F73" i="93"/>
  <c r="F61" i="93"/>
  <c r="F57" i="93"/>
  <c r="F52" i="93"/>
  <c r="F49" i="93"/>
  <c r="F64" i="93"/>
  <c r="F63" i="93"/>
  <c r="F54" i="93"/>
  <c r="F51" i="93"/>
  <c r="F46" i="93"/>
  <c r="F31" i="93"/>
  <c r="F27" i="93"/>
  <c r="F41" i="93"/>
  <c r="F26" i="93"/>
  <c r="F40" i="93"/>
  <c r="F39" i="93"/>
  <c r="F25" i="93"/>
  <c r="F20" i="93"/>
  <c r="F58" i="93"/>
  <c r="F48" i="93"/>
  <c r="F38" i="93"/>
  <c r="F37" i="93"/>
  <c r="F24" i="93"/>
  <c r="F35" i="93"/>
  <c r="F30" i="93"/>
  <c r="F23" i="93"/>
  <c r="D17" i="93"/>
  <c r="F34" i="93"/>
  <c r="F22" i="93"/>
  <c r="L12" i="93"/>
  <c r="F33" i="93"/>
  <c r="F28" i="93"/>
  <c r="F65" i="93"/>
  <c r="F19" i="93"/>
  <c r="F42" i="93"/>
  <c r="F15" i="93"/>
  <c r="J31" i="90"/>
  <c r="J37" i="90"/>
  <c r="J43" i="90"/>
  <c r="Z58" i="90"/>
  <c r="J60" i="90"/>
  <c r="J69" i="90"/>
  <c r="J78" i="90"/>
  <c r="V94" i="91"/>
  <c r="V88" i="91"/>
  <c r="V76" i="91"/>
  <c r="V72" i="91"/>
  <c r="V68" i="91"/>
  <c r="V64" i="91"/>
  <c r="V56" i="91"/>
  <c r="V87" i="91"/>
  <c r="V75" i="91"/>
  <c r="V71" i="91"/>
  <c r="V67" i="91"/>
  <c r="V59" i="91"/>
  <c r="V82" i="91"/>
  <c r="V81" i="91"/>
  <c r="V61" i="91"/>
  <c r="V53" i="91"/>
  <c r="V41" i="91"/>
  <c r="V29" i="91"/>
  <c r="V25" i="91"/>
  <c r="V90" i="91"/>
  <c r="V84" i="91"/>
  <c r="V80" i="91"/>
  <c r="V60" i="91"/>
  <c r="V52" i="91"/>
  <c r="V40" i="91"/>
  <c r="V83" i="91"/>
  <c r="V79" i="91"/>
  <c r="V63" i="91"/>
  <c r="V55" i="91"/>
  <c r="V47" i="91"/>
  <c r="V39" i="91"/>
  <c r="V35" i="91"/>
  <c r="V65" i="91"/>
  <c r="V46" i="91"/>
  <c r="V37" i="91"/>
  <c r="V58" i="91"/>
  <c r="V38" i="91"/>
  <c r="V19" i="91"/>
  <c r="V85" i="91"/>
  <c r="V62" i="91"/>
  <c r="V34" i="91"/>
  <c r="V33" i="91"/>
  <c r="V32" i="91"/>
  <c r="V77" i="91"/>
  <c r="V73" i="91"/>
  <c r="V70" i="91"/>
  <c r="V57" i="91"/>
  <c r="V50" i="91"/>
  <c r="V36" i="91"/>
  <c r="V31" i="91"/>
  <c r="V30" i="91"/>
  <c r="V28" i="91"/>
  <c r="V27" i="91"/>
  <c r="V86" i="91"/>
  <c r="V51" i="91"/>
  <c r="V26" i="91"/>
  <c r="T23" i="91"/>
  <c r="V23" i="91" s="1"/>
  <c r="V78" i="91"/>
  <c r="V74" i="91"/>
  <c r="V69" i="91"/>
  <c r="V54" i="91"/>
  <c r="V48" i="91"/>
  <c r="V43" i="91"/>
  <c r="V42" i="91"/>
  <c r="P12" i="91"/>
  <c r="X16" i="91"/>
  <c r="H23" i="91"/>
  <c r="J34" i="91"/>
  <c r="F32" i="93"/>
  <c r="N37" i="91"/>
  <c r="L56" i="91"/>
  <c r="N85" i="91"/>
  <c r="J53" i="93"/>
  <c r="J47" i="93"/>
  <c r="J69" i="93"/>
  <c r="J62" i="93"/>
  <c r="J50" i="93"/>
  <c r="J44" i="93"/>
  <c r="J65" i="93"/>
  <c r="J59" i="93"/>
  <c r="J55" i="93"/>
  <c r="J41" i="93"/>
  <c r="J58" i="93"/>
  <c r="J52" i="93"/>
  <c r="J46" i="93"/>
  <c r="J73" i="93"/>
  <c r="J68" i="93"/>
  <c r="J64" i="93"/>
  <c r="J54" i="93"/>
  <c r="J48" i="93"/>
  <c r="J63" i="93"/>
  <c r="J66" i="93"/>
  <c r="J60" i="93"/>
  <c r="J56" i="93"/>
  <c r="J26" i="93"/>
  <c r="J20" i="93"/>
  <c r="J57" i="93"/>
  <c r="J40" i="93"/>
  <c r="J39" i="93"/>
  <c r="J25" i="93"/>
  <c r="J38" i="93"/>
  <c r="J37" i="93"/>
  <c r="J30" i="93"/>
  <c r="J24" i="93"/>
  <c r="H17" i="93"/>
  <c r="J61" i="93"/>
  <c r="J51" i="93"/>
  <c r="J36" i="93"/>
  <c r="J35" i="93"/>
  <c r="J23" i="93"/>
  <c r="J43" i="93"/>
  <c r="J34" i="93"/>
  <c r="J22" i="93"/>
  <c r="N12" i="93"/>
  <c r="J49" i="93"/>
  <c r="J33" i="93"/>
  <c r="J29" i="93"/>
  <c r="J21" i="93"/>
  <c r="J19" i="93"/>
  <c r="J15" i="93"/>
  <c r="L19" i="93"/>
  <c r="Z30" i="93"/>
  <c r="L26" i="91"/>
  <c r="N26" i="91" s="1"/>
  <c r="L48" i="91"/>
  <c r="N56" i="91"/>
  <c r="X62" i="91"/>
  <c r="J42" i="93"/>
  <c r="Z62" i="91"/>
  <c r="R20" i="92"/>
  <c r="R16" i="92"/>
  <c r="R22" i="92"/>
  <c r="P16" i="92"/>
  <c r="R28" i="92"/>
  <c r="R21" i="92"/>
  <c r="R18" i="92"/>
  <c r="R14" i="92"/>
  <c r="R26" i="92"/>
  <c r="X12" i="92"/>
  <c r="N19" i="93"/>
  <c r="N48" i="91"/>
  <c r="V28" i="92"/>
  <c r="V22" i="92"/>
  <c r="V18" i="92"/>
  <c r="V14" i="92"/>
  <c r="V21" i="92"/>
  <c r="V31" i="92"/>
  <c r="V26" i="92"/>
  <c r="V24" i="92"/>
  <c r="Z12" i="92"/>
  <c r="J28" i="93"/>
  <c r="Z37" i="91"/>
  <c r="N64" i="91"/>
  <c r="X20" i="92"/>
  <c r="R31" i="92"/>
  <c r="Z19" i="93"/>
  <c r="J27" i="93"/>
  <c r="J45" i="93"/>
  <c r="N75" i="91"/>
  <c r="X83" i="91"/>
  <c r="Z83" i="91" s="1"/>
  <c r="L16" i="92"/>
  <c r="D24" i="92"/>
  <c r="Z54" i="93"/>
  <c r="H16" i="92"/>
  <c r="J22" i="92"/>
  <c r="V25" i="93"/>
  <c r="R26" i="93"/>
  <c r="Z50" i="93"/>
  <c r="N52" i="93"/>
  <c r="R66" i="93"/>
  <c r="J16" i="92"/>
  <c r="J20" i="92"/>
  <c r="F24" i="92"/>
  <c r="T17" i="93"/>
  <c r="X17" i="93" s="1"/>
  <c r="R20" i="93"/>
  <c r="V26" i="93"/>
  <c r="R27" i="93"/>
  <c r="V30" i="93"/>
  <c r="R31" i="93"/>
  <c r="R41" i="93"/>
  <c r="X62" i="93"/>
  <c r="R58" i="93"/>
  <c r="R46" i="93"/>
  <c r="R43" i="93"/>
  <c r="R73" i="93"/>
  <c r="R68" i="93"/>
  <c r="R61" i="93"/>
  <c r="R57" i="93"/>
  <c r="R54" i="93"/>
  <c r="R49" i="93"/>
  <c r="R71" i="93"/>
  <c r="R64" i="93"/>
  <c r="R48" i="93"/>
  <c r="R45" i="93"/>
  <c r="R40" i="93"/>
  <c r="R63" i="93"/>
  <c r="R60" i="93"/>
  <c r="R56" i="93"/>
  <c r="R51" i="93"/>
  <c r="R69" i="93"/>
  <c r="R62" i="93"/>
  <c r="R53" i="93"/>
  <c r="R50" i="93"/>
  <c r="R65" i="93"/>
  <c r="R59" i="93"/>
  <c r="R55" i="93"/>
  <c r="R52" i="93"/>
  <c r="V27" i="93"/>
  <c r="R28" i="93"/>
  <c r="V31" i="93"/>
  <c r="R32" i="93"/>
  <c r="Z41" i="93"/>
  <c r="V42" i="93"/>
  <c r="R44" i="93"/>
  <c r="Z62" i="93"/>
  <c r="J24" i="92"/>
  <c r="J31" i="92"/>
  <c r="V73" i="93"/>
  <c r="V61" i="93"/>
  <c r="V57" i="93"/>
  <c r="V49" i="93"/>
  <c r="V45" i="93"/>
  <c r="V64" i="93"/>
  <c r="V60" i="93"/>
  <c r="V56" i="93"/>
  <c r="V48" i="93"/>
  <c r="V63" i="93"/>
  <c r="V51" i="93"/>
  <c r="V47" i="93"/>
  <c r="V39" i="93"/>
  <c r="V66" i="93"/>
  <c r="V62" i="93"/>
  <c r="V50" i="93"/>
  <c r="V69" i="93"/>
  <c r="V52" i="93"/>
  <c r="V44" i="93"/>
  <c r="V59" i="93"/>
  <c r="V68" i="93"/>
  <c r="V58" i="93"/>
  <c r="V54" i="93"/>
  <c r="V46" i="93"/>
  <c r="V20" i="93"/>
  <c r="R21" i="93"/>
  <c r="V28" i="93"/>
  <c r="R29" i="93"/>
  <c r="V32" i="93"/>
  <c r="R33" i="93"/>
  <c r="V41" i="93"/>
  <c r="X52" i="93"/>
  <c r="Z52" i="93" s="1"/>
  <c r="N54" i="93"/>
  <c r="V65" i="93"/>
  <c r="L12" i="92"/>
  <c r="X12" i="93"/>
  <c r="Z12" i="93" s="1"/>
  <c r="R15" i="93"/>
  <c r="R19" i="93"/>
  <c r="V21" i="93"/>
  <c r="R22" i="93"/>
  <c r="V29" i="93"/>
  <c r="V33" i="93"/>
  <c r="R34" i="93"/>
  <c r="N12" i="92"/>
  <c r="J14" i="92"/>
  <c r="J18" i="92"/>
  <c r="J21" i="92"/>
  <c r="V22" i="93"/>
  <c r="R23" i="93"/>
  <c r="V34" i="93"/>
  <c r="R35" i="93"/>
  <c r="R36" i="93"/>
  <c r="V43" i="93"/>
  <c r="N12" i="94"/>
  <c r="V18" i="94"/>
  <c r="J22" i="94"/>
  <c r="J16" i="95"/>
  <c r="J20" i="95"/>
  <c r="V22" i="95"/>
  <c r="Z12" i="96"/>
  <c r="V16" i="96"/>
  <c r="V20" i="96"/>
  <c r="J24" i="96"/>
  <c r="J15" i="94"/>
  <c r="H18" i="94"/>
  <c r="V21" i="94"/>
  <c r="J25" i="94"/>
  <c r="R27" i="94"/>
  <c r="J29" i="94"/>
  <c r="R31" i="94"/>
  <c r="J33" i="94"/>
  <c r="R34" i="94"/>
  <c r="J36" i="94"/>
  <c r="L12" i="95"/>
  <c r="V15" i="95"/>
  <c r="T18" i="95"/>
  <c r="V25" i="95"/>
  <c r="F29" i="95"/>
  <c r="V29" i="95"/>
  <c r="F33" i="95"/>
  <c r="V33" i="95"/>
  <c r="F36" i="95"/>
  <c r="V36" i="95"/>
  <c r="R25" i="96"/>
  <c r="J27" i="96"/>
  <c r="R29" i="96"/>
  <c r="J31" i="96"/>
  <c r="R33" i="96"/>
  <c r="J34" i="96"/>
  <c r="R36" i="96"/>
  <c r="J18" i="94"/>
  <c r="V24" i="94"/>
  <c r="V18" i="95"/>
  <c r="J22" i="95"/>
  <c r="J16" i="96"/>
  <c r="J20" i="96"/>
  <c r="V22" i="96"/>
  <c r="X12" i="94"/>
  <c r="J21" i="94"/>
  <c r="F27" i="94"/>
  <c r="V27" i="94"/>
  <c r="F31" i="94"/>
  <c r="V31" i="94"/>
  <c r="F34" i="94"/>
  <c r="V34" i="94"/>
  <c r="J15" i="95"/>
  <c r="H18" i="95"/>
  <c r="F21" i="95"/>
  <c r="V21" i="95"/>
  <c r="J25" i="95"/>
  <c r="R27" i="95"/>
  <c r="J29" i="95"/>
  <c r="R31" i="95"/>
  <c r="J33" i="95"/>
  <c r="R34" i="95"/>
  <c r="J36" i="95"/>
  <c r="L12" i="96"/>
  <c r="F15" i="96"/>
  <c r="V15" i="96"/>
  <c r="D18" i="96"/>
  <c r="T18" i="96"/>
  <c r="F25" i="96"/>
  <c r="V25" i="96"/>
  <c r="F29" i="96"/>
  <c r="V29" i="96"/>
  <c r="F33" i="96"/>
  <c r="V33" i="96"/>
  <c r="F36" i="96"/>
  <c r="V36" i="96"/>
  <c r="J24" i="94"/>
  <c r="V24" i="95"/>
  <c r="V18" i="96"/>
  <c r="R15" i="94"/>
  <c r="P18" i="94"/>
  <c r="R25" i="94"/>
  <c r="J27" i="94"/>
  <c r="R29" i="94"/>
  <c r="J31" i="94"/>
  <c r="R33" i="94"/>
  <c r="J34" i="94"/>
  <c r="R36" i="94"/>
  <c r="X12" i="95"/>
  <c r="J21" i="95"/>
  <c r="F27" i="95"/>
  <c r="V27" i="95"/>
  <c r="F31" i="95"/>
  <c r="V31" i="95"/>
  <c r="J15" i="96"/>
  <c r="H18" i="96"/>
  <c r="F21" i="96"/>
  <c r="V21" i="96"/>
  <c r="J25" i="96"/>
  <c r="R27" i="96"/>
  <c r="J29" i="96"/>
  <c r="R31" i="96"/>
  <c r="J33" i="96"/>
  <c r="J36" i="96"/>
  <c r="J16" i="94"/>
  <c r="V24" i="96"/>
  <c r="D68" i="93"/>
  <c r="L68" i="93" s="1"/>
  <c r="N68" i="93" s="1"/>
  <c r="L12" i="94"/>
  <c r="F15" i="94"/>
  <c r="V15" i="94"/>
  <c r="D18" i="94"/>
  <c r="T18" i="94"/>
  <c r="F25" i="94"/>
  <c r="V25" i="94"/>
  <c r="F29" i="94"/>
  <c r="V29" i="94"/>
  <c r="F33" i="94"/>
  <c r="V33" i="94"/>
  <c r="R15" i="95"/>
  <c r="P18" i="95"/>
  <c r="R25" i="95"/>
  <c r="J27" i="95"/>
  <c r="R29" i="95"/>
  <c r="J31" i="95"/>
  <c r="R33" i="95"/>
  <c r="X12" i="96"/>
  <c r="F27" i="96"/>
  <c r="V27" i="96"/>
  <c r="F31" i="96"/>
  <c r="V31" i="96"/>
  <c r="D27" i="20" l="1"/>
  <c r="L18" i="95"/>
  <c r="N27" i="50"/>
  <c r="X18" i="20"/>
  <c r="L18" i="53"/>
  <c r="H27" i="40"/>
  <c r="N27" i="40" s="1"/>
  <c r="X18" i="52"/>
  <c r="Z18" i="38"/>
  <c r="X18" i="34"/>
  <c r="P27" i="20"/>
  <c r="X27" i="20" s="1"/>
  <c r="L18" i="43"/>
  <c r="N18" i="50"/>
  <c r="X18" i="38"/>
  <c r="X18" i="44"/>
  <c r="N27" i="34"/>
  <c r="X18" i="28"/>
  <c r="N18" i="8"/>
  <c r="X18" i="11"/>
  <c r="T27" i="52"/>
  <c r="X27" i="52" s="1"/>
  <c r="N18" i="34"/>
  <c r="Z18" i="26"/>
  <c r="H31" i="31"/>
  <c r="H36" i="31" s="1"/>
  <c r="N36" i="31" s="1"/>
  <c r="Z18" i="43"/>
  <c r="N18" i="31"/>
  <c r="N27" i="8"/>
  <c r="H27" i="20"/>
  <c r="L27" i="20" s="1"/>
  <c r="H27" i="29"/>
  <c r="L27" i="29" s="1"/>
  <c r="N18" i="29"/>
  <c r="L18" i="29"/>
  <c r="H27" i="4"/>
  <c r="N18" i="4"/>
  <c r="L18" i="40"/>
  <c r="D27" i="31"/>
  <c r="L18" i="31"/>
  <c r="N18" i="17"/>
  <c r="H27" i="17"/>
  <c r="X18" i="43"/>
  <c r="R77" i="91"/>
  <c r="R73" i="91"/>
  <c r="R69" i="91"/>
  <c r="R65" i="91"/>
  <c r="R62" i="91"/>
  <c r="R57" i="91"/>
  <c r="R54" i="91"/>
  <c r="R94" i="91"/>
  <c r="R88" i="91"/>
  <c r="R85" i="91"/>
  <c r="R76" i="91"/>
  <c r="R72" i="91"/>
  <c r="R68" i="91"/>
  <c r="R87" i="91"/>
  <c r="R82" i="91"/>
  <c r="R75" i="91"/>
  <c r="R42" i="91"/>
  <c r="R30" i="91"/>
  <c r="R81" i="91"/>
  <c r="R70" i="91"/>
  <c r="R66" i="91"/>
  <c r="R61" i="91"/>
  <c r="R58" i="91"/>
  <c r="R53" i="91"/>
  <c r="R50" i="91"/>
  <c r="R41" i="91"/>
  <c r="R84" i="91"/>
  <c r="R80" i="91"/>
  <c r="R40" i="91"/>
  <c r="R36" i="91"/>
  <c r="R90" i="91"/>
  <c r="R55" i="91"/>
  <c r="R47" i="91"/>
  <c r="R45" i="91"/>
  <c r="R60" i="91"/>
  <c r="R56" i="91"/>
  <c r="R46" i="91"/>
  <c r="R39" i="91"/>
  <c r="R25" i="91"/>
  <c r="R20" i="91"/>
  <c r="X12" i="91"/>
  <c r="Z12" i="91" s="1"/>
  <c r="R38" i="91"/>
  <c r="R37" i="91"/>
  <c r="R35" i="91"/>
  <c r="R59" i="91"/>
  <c r="R52" i="91"/>
  <c r="R34" i="91"/>
  <c r="R33" i="91"/>
  <c r="R32" i="91"/>
  <c r="R29" i="91"/>
  <c r="R31" i="91"/>
  <c r="R28" i="91"/>
  <c r="R27" i="91"/>
  <c r="R18" i="91"/>
  <c r="R86" i="91"/>
  <c r="R71" i="91"/>
  <c r="R63" i="91"/>
  <c r="R51" i="91"/>
  <c r="R23" i="91"/>
  <c r="R74" i="91"/>
  <c r="R26" i="91"/>
  <c r="R19" i="91"/>
  <c r="R78" i="91"/>
  <c r="R48" i="91"/>
  <c r="R79" i="91"/>
  <c r="R67" i="91"/>
  <c r="R21" i="91"/>
  <c r="R49" i="91"/>
  <c r="R43" i="91"/>
  <c r="P23" i="91"/>
  <c r="R83" i="91"/>
  <c r="R44" i="91"/>
  <c r="R64" i="91"/>
  <c r="F84" i="89"/>
  <c r="F77" i="89"/>
  <c r="F73" i="89"/>
  <c r="F69" i="89"/>
  <c r="F65" i="89"/>
  <c r="F76" i="89"/>
  <c r="F72" i="89"/>
  <c r="F87" i="89"/>
  <c r="F67" i="89"/>
  <c r="F44" i="89"/>
  <c r="F32" i="89"/>
  <c r="F91" i="89"/>
  <c r="F63" i="89"/>
  <c r="F59" i="89"/>
  <c r="F54" i="89"/>
  <c r="F51" i="89"/>
  <c r="F43" i="89"/>
  <c r="F31" i="89"/>
  <c r="F26" i="89"/>
  <c r="F18" i="89"/>
  <c r="F80" i="89"/>
  <c r="F79" i="89"/>
  <c r="F78" i="89"/>
  <c r="F71" i="89"/>
  <c r="F61" i="89"/>
  <c r="F40" i="89"/>
  <c r="F36" i="89"/>
  <c r="F28" i="89"/>
  <c r="F20" i="89"/>
  <c r="L12" i="89"/>
  <c r="N12" i="89" s="1"/>
  <c r="F75" i="89"/>
  <c r="F58" i="89"/>
  <c r="F55" i="89"/>
  <c r="F50" i="89"/>
  <c r="F47" i="89"/>
  <c r="F39" i="89"/>
  <c r="F35" i="89"/>
  <c r="F27" i="89"/>
  <c r="F85" i="89"/>
  <c r="F83" i="89"/>
  <c r="F82" i="89"/>
  <c r="F70" i="89"/>
  <c r="F68" i="89"/>
  <c r="F64" i="89"/>
  <c r="F60" i="89"/>
  <c r="F57" i="89"/>
  <c r="F52" i="89"/>
  <c r="F49" i="89"/>
  <c r="F45" i="89"/>
  <c r="F33" i="89"/>
  <c r="F62" i="89"/>
  <c r="F46" i="89"/>
  <c r="F42" i="89"/>
  <c r="F38" i="89"/>
  <c r="F21" i="89"/>
  <c r="F66" i="89"/>
  <c r="D23" i="89"/>
  <c r="F53" i="89"/>
  <c r="F34" i="89"/>
  <c r="F48" i="89"/>
  <c r="F29" i="89"/>
  <c r="F25" i="89"/>
  <c r="F30" i="89"/>
  <c r="F81" i="89"/>
  <c r="F19" i="89"/>
  <c r="F41" i="89"/>
  <c r="F74" i="89"/>
  <c r="F56" i="89"/>
  <c r="F37" i="89"/>
  <c r="H30" i="80"/>
  <c r="N16" i="80"/>
  <c r="D31" i="55"/>
  <c r="L16" i="55"/>
  <c r="D74" i="58"/>
  <c r="L16" i="58"/>
  <c r="H27" i="32"/>
  <c r="N18" i="32"/>
  <c r="T27" i="96"/>
  <c r="Z18" i="96"/>
  <c r="H27" i="94"/>
  <c r="N18" i="94"/>
  <c r="N16" i="92"/>
  <c r="H24" i="92"/>
  <c r="Z17" i="87"/>
  <c r="T27" i="87"/>
  <c r="X17" i="87"/>
  <c r="D28" i="81"/>
  <c r="L16" i="81"/>
  <c r="T30" i="76"/>
  <c r="T30" i="78"/>
  <c r="Z26" i="78"/>
  <c r="P83" i="74"/>
  <c r="X21" i="74"/>
  <c r="D83" i="74"/>
  <c r="L21" i="74"/>
  <c r="N21" i="74" s="1"/>
  <c r="T28" i="72"/>
  <c r="Z24" i="72"/>
  <c r="F101" i="67"/>
  <c r="H27" i="49"/>
  <c r="N18" i="49"/>
  <c r="D27" i="50"/>
  <c r="L18" i="50"/>
  <c r="P27" i="53"/>
  <c r="X18" i="53"/>
  <c r="P78" i="51"/>
  <c r="X30" i="51"/>
  <c r="T27" i="41"/>
  <c r="Z18" i="41"/>
  <c r="L17" i="48"/>
  <c r="D71" i="48"/>
  <c r="P31" i="46"/>
  <c r="X18" i="49"/>
  <c r="P27" i="49"/>
  <c r="F101" i="42"/>
  <c r="F95" i="42"/>
  <c r="F92" i="42"/>
  <c r="F88" i="42"/>
  <c r="F52" i="42"/>
  <c r="F47" i="42"/>
  <c r="F40" i="42"/>
  <c r="F28" i="42"/>
  <c r="F20" i="42"/>
  <c r="L12" i="42"/>
  <c r="N12" i="42" s="1"/>
  <c r="F91" i="42"/>
  <c r="F87" i="42"/>
  <c r="F78" i="42"/>
  <c r="F66" i="42"/>
  <c r="F63" i="42"/>
  <c r="F58" i="42"/>
  <c r="F55" i="42"/>
  <c r="F39" i="42"/>
  <c r="F35" i="42"/>
  <c r="F27" i="42"/>
  <c r="F19" i="42"/>
  <c r="F94" i="42"/>
  <c r="F86" i="42"/>
  <c r="F54" i="42"/>
  <c r="F49" i="42"/>
  <c r="F46" i="42"/>
  <c r="F38" i="42"/>
  <c r="F34" i="42"/>
  <c r="F25" i="42"/>
  <c r="F105" i="42"/>
  <c r="F100" i="42"/>
  <c r="F98" i="42"/>
  <c r="F85" i="42"/>
  <c r="F80" i="42"/>
  <c r="F77" i="42"/>
  <c r="F72" i="42"/>
  <c r="F68" i="42"/>
  <c r="F65" i="42"/>
  <c r="F60" i="42"/>
  <c r="F57" i="42"/>
  <c r="F45" i="42"/>
  <c r="F37" i="42"/>
  <c r="F33" i="42"/>
  <c r="F96" i="42"/>
  <c r="F84" i="42"/>
  <c r="F76" i="42"/>
  <c r="F51" i="42"/>
  <c r="F48" i="42"/>
  <c r="F44" i="42"/>
  <c r="F32" i="42"/>
  <c r="F90" i="42"/>
  <c r="F83" i="42"/>
  <c r="F79" i="42"/>
  <c r="F75" i="42"/>
  <c r="F71" i="42"/>
  <c r="F67" i="42"/>
  <c r="F62" i="42"/>
  <c r="F59" i="42"/>
  <c r="F43" i="42"/>
  <c r="F31" i="42"/>
  <c r="F26" i="42"/>
  <c r="F18" i="42"/>
  <c r="F99" i="42"/>
  <c r="F93" i="42"/>
  <c r="F82" i="42"/>
  <c r="F74" i="42"/>
  <c r="F70" i="42"/>
  <c r="F53" i="42"/>
  <c r="F50" i="42"/>
  <c r="F42" i="42"/>
  <c r="F30" i="42"/>
  <c r="F81" i="42"/>
  <c r="F69" i="42"/>
  <c r="F64" i="42"/>
  <c r="F61" i="42"/>
  <c r="F29" i="42"/>
  <c r="D23" i="42"/>
  <c r="F56" i="42"/>
  <c r="F73" i="42"/>
  <c r="F41" i="42"/>
  <c r="F89" i="42"/>
  <c r="F36" i="42"/>
  <c r="F21" i="42"/>
  <c r="X18" i="41"/>
  <c r="P27" i="41"/>
  <c r="R105" i="39"/>
  <c r="R99" i="39"/>
  <c r="R91" i="39"/>
  <c r="R84" i="39"/>
  <c r="R76" i="39"/>
  <c r="R67" i="39"/>
  <c r="R64" i="39"/>
  <c r="R59" i="39"/>
  <c r="R47" i="39"/>
  <c r="R39" i="39"/>
  <c r="R35" i="39"/>
  <c r="R28" i="39"/>
  <c r="R20" i="39"/>
  <c r="R110" i="39"/>
  <c r="R95" i="39"/>
  <c r="R90" i="39"/>
  <c r="R55" i="39"/>
  <c r="R50" i="39"/>
  <c r="R46" i="39"/>
  <c r="R34" i="39"/>
  <c r="R101" i="39"/>
  <c r="R98" i="39"/>
  <c r="R89" i="39"/>
  <c r="R81" i="39"/>
  <c r="R73" i="39"/>
  <c r="R69" i="39"/>
  <c r="R66" i="39"/>
  <c r="R61" i="39"/>
  <c r="R58" i="39"/>
  <c r="R45" i="39"/>
  <c r="R38" i="39"/>
  <c r="R33" i="39"/>
  <c r="P25" i="39"/>
  <c r="R25" i="39" s="1"/>
  <c r="R104" i="39"/>
  <c r="R88" i="39"/>
  <c r="R80" i="39"/>
  <c r="R72" i="39"/>
  <c r="R52" i="39"/>
  <c r="R49" i="39"/>
  <c r="R44" i="39"/>
  <c r="R32" i="39"/>
  <c r="X12" i="39"/>
  <c r="Z12" i="39" s="1"/>
  <c r="R100" i="39"/>
  <c r="R87" i="39"/>
  <c r="R83" i="39"/>
  <c r="R79" i="39"/>
  <c r="R75" i="39"/>
  <c r="R71" i="39"/>
  <c r="R68" i="39"/>
  <c r="R63" i="39"/>
  <c r="R60" i="39"/>
  <c r="R43" i="39"/>
  <c r="R31" i="39"/>
  <c r="R23" i="39"/>
  <c r="R106" i="39"/>
  <c r="R94" i="39"/>
  <c r="R86" i="39"/>
  <c r="R78" i="39"/>
  <c r="R54" i="39"/>
  <c r="R51" i="39"/>
  <c r="R42" i="39"/>
  <c r="R30" i="39"/>
  <c r="R27" i="39"/>
  <c r="R22" i="39"/>
  <c r="R97" i="39"/>
  <c r="R93" i="39"/>
  <c r="R85" i="39"/>
  <c r="R82" i="39"/>
  <c r="R77" i="39"/>
  <c r="R74" i="39"/>
  <c r="R70" i="39"/>
  <c r="R65" i="39"/>
  <c r="R62" i="39"/>
  <c r="R57" i="39"/>
  <c r="R41" i="39"/>
  <c r="R37" i="39"/>
  <c r="R29" i="39"/>
  <c r="R21" i="39"/>
  <c r="R96" i="39"/>
  <c r="R40" i="39"/>
  <c r="R92" i="39"/>
  <c r="R56" i="39"/>
  <c r="R53" i="39"/>
  <c r="R36" i="39"/>
  <c r="R48" i="39"/>
  <c r="R103" i="39"/>
  <c r="R68" i="33"/>
  <c r="R64" i="33"/>
  <c r="R57" i="33"/>
  <c r="R40" i="33"/>
  <c r="R28" i="33"/>
  <c r="R20" i="33"/>
  <c r="R71" i="33"/>
  <c r="R63" i="33"/>
  <c r="R60" i="33"/>
  <c r="R51" i="33"/>
  <c r="R48" i="33"/>
  <c r="R39" i="33"/>
  <c r="R27" i="33"/>
  <c r="R24" i="33"/>
  <c r="R67" i="33"/>
  <c r="R54" i="33"/>
  <c r="R38" i="33"/>
  <c r="R34" i="33"/>
  <c r="R26" i="33"/>
  <c r="R19" i="33"/>
  <c r="R62" i="33"/>
  <c r="R53" i="33"/>
  <c r="R50" i="33"/>
  <c r="R45" i="33"/>
  <c r="R37" i="33"/>
  <c r="R33" i="33"/>
  <c r="R56" i="33"/>
  <c r="R44" i="33"/>
  <c r="R36" i="33"/>
  <c r="R32" i="33"/>
  <c r="R25" i="33"/>
  <c r="R75" i="33"/>
  <c r="R70" i="33"/>
  <c r="R59" i="33"/>
  <c r="R52" i="33"/>
  <c r="R47" i="33"/>
  <c r="R43" i="33"/>
  <c r="R31" i="33"/>
  <c r="R66" i="33"/>
  <c r="R58" i="33"/>
  <c r="R55" i="33"/>
  <c r="R42" i="33"/>
  <c r="R35" i="33"/>
  <c r="R30" i="33"/>
  <c r="P22" i="33"/>
  <c r="X12" i="33"/>
  <c r="Z12" i="33" s="1"/>
  <c r="R61" i="33"/>
  <c r="R41" i="33"/>
  <c r="R65" i="33"/>
  <c r="R29" i="33"/>
  <c r="R46" i="33"/>
  <c r="R49" i="33"/>
  <c r="L18" i="32"/>
  <c r="D27" i="32"/>
  <c r="L18" i="35"/>
  <c r="D27" i="35"/>
  <c r="H97" i="45"/>
  <c r="P31" i="28"/>
  <c r="X18" i="29"/>
  <c r="P27" i="29"/>
  <c r="H27" i="23"/>
  <c r="N18" i="23"/>
  <c r="T86" i="24"/>
  <c r="V82" i="24"/>
  <c r="D90" i="21"/>
  <c r="L23" i="21"/>
  <c r="T158" i="18"/>
  <c r="T27" i="16"/>
  <c r="X27" i="16" s="1"/>
  <c r="Z18" i="16"/>
  <c r="T150" i="15"/>
  <c r="D157" i="12"/>
  <c r="L53" i="12"/>
  <c r="H27" i="10"/>
  <c r="N18" i="10"/>
  <c r="T157" i="12"/>
  <c r="T27" i="8"/>
  <c r="X27" i="8" s="1"/>
  <c r="Z18" i="8"/>
  <c r="T28" i="92"/>
  <c r="Z24" i="92"/>
  <c r="X16" i="86"/>
  <c r="P26" i="86"/>
  <c r="H78" i="51"/>
  <c r="J30" i="51"/>
  <c r="H27" i="26"/>
  <c r="L27" i="26" s="1"/>
  <c r="N18" i="26"/>
  <c r="Z27" i="26"/>
  <c r="T31" i="26"/>
  <c r="R160" i="18"/>
  <c r="R152" i="18"/>
  <c r="R136" i="18"/>
  <c r="R129" i="18"/>
  <c r="R117" i="18"/>
  <c r="R101" i="18"/>
  <c r="R89" i="18"/>
  <c r="R76" i="18"/>
  <c r="R69" i="18"/>
  <c r="R64" i="18"/>
  <c r="R55" i="18"/>
  <c r="R139" i="18"/>
  <c r="R135" i="18"/>
  <c r="R112" i="18"/>
  <c r="R107" i="18"/>
  <c r="R104" i="18"/>
  <c r="R95" i="18"/>
  <c r="R92" i="18"/>
  <c r="R154" i="18"/>
  <c r="R149" i="18"/>
  <c r="R138" i="18"/>
  <c r="R134" i="18"/>
  <c r="R151" i="18"/>
  <c r="R145" i="18"/>
  <c r="R141" i="18"/>
  <c r="R133" i="18"/>
  <c r="R125" i="18"/>
  <c r="R121" i="18"/>
  <c r="R109" i="18"/>
  <c r="R106" i="18"/>
  <c r="R97" i="18"/>
  <c r="R94" i="18"/>
  <c r="R85" i="18"/>
  <c r="R156" i="18"/>
  <c r="R144" i="18"/>
  <c r="R137" i="18"/>
  <c r="R132" i="18"/>
  <c r="R128" i="18"/>
  <c r="R124" i="18"/>
  <c r="R120" i="18"/>
  <c r="R116" i="18"/>
  <c r="R100" i="18"/>
  <c r="R88" i="18"/>
  <c r="R153" i="18"/>
  <c r="R147" i="18"/>
  <c r="R143" i="18"/>
  <c r="R140" i="18"/>
  <c r="R131" i="18"/>
  <c r="R127" i="18"/>
  <c r="R123" i="18"/>
  <c r="R119" i="18"/>
  <c r="R115" i="18"/>
  <c r="R111" i="18"/>
  <c r="R108" i="18"/>
  <c r="R103" i="18"/>
  <c r="R99" i="18"/>
  <c r="R96" i="18"/>
  <c r="R91" i="18"/>
  <c r="R87" i="18"/>
  <c r="R84" i="18"/>
  <c r="R79" i="18"/>
  <c r="R71" i="18"/>
  <c r="R67" i="18"/>
  <c r="R59" i="18"/>
  <c r="R150" i="18"/>
  <c r="R130" i="18"/>
  <c r="R118" i="18"/>
  <c r="R114" i="18"/>
  <c r="R102" i="18"/>
  <c r="R90" i="18"/>
  <c r="R78" i="18"/>
  <c r="R70" i="18"/>
  <c r="R66" i="18"/>
  <c r="R50" i="18"/>
  <c r="R110" i="18"/>
  <c r="R65" i="18"/>
  <c r="R48" i="18"/>
  <c r="R40" i="18"/>
  <c r="R32" i="18"/>
  <c r="R24" i="18"/>
  <c r="X12" i="18"/>
  <c r="Z12" i="18" s="1"/>
  <c r="R105" i="18"/>
  <c r="R74" i="18"/>
  <c r="R47" i="18"/>
  <c r="R39" i="18"/>
  <c r="R31" i="18"/>
  <c r="R23" i="18"/>
  <c r="R155" i="18"/>
  <c r="R75" i="18"/>
  <c r="R58" i="18"/>
  <c r="R46" i="18"/>
  <c r="R38" i="18"/>
  <c r="R30" i="18"/>
  <c r="R22" i="18"/>
  <c r="R45" i="18"/>
  <c r="R37" i="18"/>
  <c r="R29" i="18"/>
  <c r="R21" i="18"/>
  <c r="R44" i="18"/>
  <c r="R36" i="18"/>
  <c r="R28" i="18"/>
  <c r="R142" i="18"/>
  <c r="R93" i="18"/>
  <c r="R77" i="18"/>
  <c r="R68" i="18"/>
  <c r="R61" i="18"/>
  <c r="R60" i="18"/>
  <c r="R57" i="18"/>
  <c r="R43" i="18"/>
  <c r="R35" i="18"/>
  <c r="R27" i="18"/>
  <c r="R20" i="18"/>
  <c r="R113" i="18"/>
  <c r="R98" i="18"/>
  <c r="R86" i="18"/>
  <c r="R82" i="18"/>
  <c r="R80" i="18"/>
  <c r="P55" i="18"/>
  <c r="R42" i="18"/>
  <c r="R34" i="18"/>
  <c r="R26" i="18"/>
  <c r="R72" i="18"/>
  <c r="R62" i="18"/>
  <c r="R83" i="18"/>
  <c r="R25" i="18"/>
  <c r="R73" i="18"/>
  <c r="R81" i="18"/>
  <c r="R63" i="18"/>
  <c r="R33" i="18"/>
  <c r="R146" i="18"/>
  <c r="R51" i="18"/>
  <c r="R52" i="18"/>
  <c r="R41" i="18"/>
  <c r="R53" i="18"/>
  <c r="R122" i="18"/>
  <c r="R126" i="18"/>
  <c r="R49" i="18"/>
  <c r="F68" i="93"/>
  <c r="D26" i="86"/>
  <c r="L16" i="86"/>
  <c r="T89" i="89"/>
  <c r="V23" i="89"/>
  <c r="P31" i="87"/>
  <c r="X27" i="87"/>
  <c r="R83" i="83"/>
  <c r="R79" i="83"/>
  <c r="R71" i="83"/>
  <c r="R63" i="83"/>
  <c r="R60" i="83"/>
  <c r="R55" i="83"/>
  <c r="R94" i="83"/>
  <c r="R89" i="83"/>
  <c r="R82" i="83"/>
  <c r="R78" i="83"/>
  <c r="R70" i="83"/>
  <c r="R66" i="83"/>
  <c r="R54" i="83"/>
  <c r="R51" i="83"/>
  <c r="R46" i="83"/>
  <c r="R85" i="83"/>
  <c r="R77" i="83"/>
  <c r="R73" i="83"/>
  <c r="R69" i="83"/>
  <c r="R65" i="83"/>
  <c r="R62" i="83"/>
  <c r="R57" i="83"/>
  <c r="R45" i="83"/>
  <c r="R81" i="83"/>
  <c r="R76" i="83"/>
  <c r="R87" i="83"/>
  <c r="R84" i="83"/>
  <c r="R75" i="83"/>
  <c r="R72" i="83"/>
  <c r="R86" i="83"/>
  <c r="R74" i="83"/>
  <c r="R61" i="83"/>
  <c r="R58" i="83"/>
  <c r="R41" i="83"/>
  <c r="R80" i="83"/>
  <c r="R52" i="83"/>
  <c r="R49" i="83"/>
  <c r="R38" i="83"/>
  <c r="R34" i="83"/>
  <c r="R64" i="83"/>
  <c r="R56" i="83"/>
  <c r="R44" i="83"/>
  <c r="R37" i="83"/>
  <c r="R33" i="83"/>
  <c r="R26" i="83"/>
  <c r="R18" i="83"/>
  <c r="R68" i="83"/>
  <c r="R32" i="83"/>
  <c r="R36" i="83"/>
  <c r="R31" i="83"/>
  <c r="P23" i="83"/>
  <c r="R47" i="83"/>
  <c r="R30" i="83"/>
  <c r="R90" i="83"/>
  <c r="R59" i="83"/>
  <c r="R50" i="83"/>
  <c r="R48" i="83"/>
  <c r="R40" i="83"/>
  <c r="R28" i="83"/>
  <c r="R25" i="83"/>
  <c r="R20" i="83"/>
  <c r="X12" i="83"/>
  <c r="Z12" i="83" s="1"/>
  <c r="R29" i="83"/>
  <c r="R21" i="83"/>
  <c r="R53" i="83"/>
  <c r="R42" i="83"/>
  <c r="R27" i="83"/>
  <c r="R39" i="83"/>
  <c r="R19" i="83"/>
  <c r="R67" i="83"/>
  <c r="R43" i="83"/>
  <c r="R35" i="83"/>
  <c r="D30" i="80"/>
  <c r="L16" i="80"/>
  <c r="T26" i="82"/>
  <c r="Z16" i="82"/>
  <c r="P32" i="81"/>
  <c r="T30" i="80"/>
  <c r="X30" i="80" s="1"/>
  <c r="Z16" i="80"/>
  <c r="H26" i="82"/>
  <c r="N16" i="82"/>
  <c r="H28" i="81"/>
  <c r="N16" i="81"/>
  <c r="X22" i="75"/>
  <c r="Z22" i="75" s="1"/>
  <c r="P87" i="75"/>
  <c r="F77" i="75"/>
  <c r="F73" i="75"/>
  <c r="F66" i="75"/>
  <c r="F42" i="75"/>
  <c r="F30" i="75"/>
  <c r="F25" i="75"/>
  <c r="F17" i="75"/>
  <c r="F69" i="75"/>
  <c r="F65" i="75"/>
  <c r="F60" i="75"/>
  <c r="F57" i="75"/>
  <c r="F52" i="75"/>
  <c r="F49" i="75"/>
  <c r="F41" i="75"/>
  <c r="F29" i="75"/>
  <c r="F22" i="75"/>
  <c r="F79" i="75"/>
  <c r="F76" i="75"/>
  <c r="F72" i="75"/>
  <c r="F68" i="75"/>
  <c r="F40" i="75"/>
  <c r="F35" i="75"/>
  <c r="F28" i="75"/>
  <c r="D22" i="75"/>
  <c r="F20" i="75"/>
  <c r="F82" i="75"/>
  <c r="F75" i="75"/>
  <c r="F71" i="75"/>
  <c r="F62" i="75"/>
  <c r="F59" i="75"/>
  <c r="F54" i="75"/>
  <c r="F51" i="75"/>
  <c r="F46" i="75"/>
  <c r="F39" i="75"/>
  <c r="F27" i="75"/>
  <c r="F19" i="75"/>
  <c r="F78" i="75"/>
  <c r="F74" i="75"/>
  <c r="F38" i="75"/>
  <c r="F34" i="75"/>
  <c r="F26" i="75"/>
  <c r="F18" i="75"/>
  <c r="L12" i="75"/>
  <c r="N12" i="75" s="1"/>
  <c r="F85" i="75"/>
  <c r="F80" i="75"/>
  <c r="F67" i="75"/>
  <c r="F44" i="75"/>
  <c r="F36" i="75"/>
  <c r="F32" i="75"/>
  <c r="F50" i="75"/>
  <c r="F43" i="75"/>
  <c r="F81" i="75"/>
  <c r="F63" i="75"/>
  <c r="F53" i="75"/>
  <c r="F24" i="75"/>
  <c r="F89" i="75"/>
  <c r="F37" i="75"/>
  <c r="F33" i="75"/>
  <c r="F64" i="75"/>
  <c r="F56" i="75"/>
  <c r="F55" i="75"/>
  <c r="F83" i="75"/>
  <c r="F70" i="75"/>
  <c r="F45" i="75"/>
  <c r="F47" i="75"/>
  <c r="F58" i="75"/>
  <c r="F48" i="75"/>
  <c r="F61" i="75"/>
  <c r="F31" i="75"/>
  <c r="H77" i="68"/>
  <c r="J73" i="68"/>
  <c r="Z16" i="64"/>
  <c r="T31" i="64"/>
  <c r="H86" i="65"/>
  <c r="L22" i="76"/>
  <c r="N22" i="76" s="1"/>
  <c r="D30" i="76"/>
  <c r="R62" i="68"/>
  <c r="R53" i="68"/>
  <c r="R50" i="68"/>
  <c r="R45" i="68"/>
  <c r="R37" i="68"/>
  <c r="R33" i="68"/>
  <c r="R56" i="68"/>
  <c r="R44" i="68"/>
  <c r="R36" i="68"/>
  <c r="R32" i="68"/>
  <c r="R25" i="68"/>
  <c r="R75" i="68"/>
  <c r="R70" i="68"/>
  <c r="R59" i="68"/>
  <c r="R52" i="68"/>
  <c r="R47" i="68"/>
  <c r="R43" i="68"/>
  <c r="R31" i="68"/>
  <c r="R66" i="68"/>
  <c r="R58" i="68"/>
  <c r="R55" i="68"/>
  <c r="R42" i="68"/>
  <c r="R35" i="68"/>
  <c r="R30" i="68"/>
  <c r="P22" i="68"/>
  <c r="X12" i="68"/>
  <c r="Z12" i="68" s="1"/>
  <c r="R65" i="68"/>
  <c r="R61" i="68"/>
  <c r="R49" i="68"/>
  <c r="R46" i="68"/>
  <c r="R41" i="68"/>
  <c r="R29" i="68"/>
  <c r="R68" i="68"/>
  <c r="R64" i="68"/>
  <c r="R57" i="68"/>
  <c r="R40" i="68"/>
  <c r="R28" i="68"/>
  <c r="R20" i="68"/>
  <c r="R71" i="68"/>
  <c r="R63" i="68"/>
  <c r="R60" i="68"/>
  <c r="R51" i="68"/>
  <c r="R48" i="68"/>
  <c r="R39" i="68"/>
  <c r="R27" i="68"/>
  <c r="R24" i="68"/>
  <c r="R38" i="68"/>
  <c r="R34" i="68"/>
  <c r="R54" i="68"/>
  <c r="R19" i="68"/>
  <c r="R67" i="68"/>
  <c r="R26" i="68"/>
  <c r="F56" i="71"/>
  <c r="F53" i="71"/>
  <c r="F41" i="71"/>
  <c r="F33" i="71"/>
  <c r="F29" i="71"/>
  <c r="F16" i="71"/>
  <c r="F63" i="71"/>
  <c r="F59" i="71"/>
  <c r="F52" i="71"/>
  <c r="F47" i="71"/>
  <c r="F44" i="71"/>
  <c r="F40" i="71"/>
  <c r="F28" i="71"/>
  <c r="F77" i="71"/>
  <c r="F70" i="71"/>
  <c r="F55" i="71"/>
  <c r="F39" i="71"/>
  <c r="F27" i="71"/>
  <c r="F22" i="71"/>
  <c r="F65" i="71"/>
  <c r="F62" i="71"/>
  <c r="F58" i="71"/>
  <c r="F49" i="71"/>
  <c r="F46" i="71"/>
  <c r="F38" i="71"/>
  <c r="F26" i="71"/>
  <c r="F19" i="71"/>
  <c r="F61" i="71"/>
  <c r="F57" i="71"/>
  <c r="F37" i="71"/>
  <c r="F32" i="71"/>
  <c r="F25" i="71"/>
  <c r="D19" i="71"/>
  <c r="F17" i="71"/>
  <c r="F64" i="71"/>
  <c r="F60" i="71"/>
  <c r="F51" i="71"/>
  <c r="F48" i="71"/>
  <c r="F43" i="71"/>
  <c r="F36" i="71"/>
  <c r="F24" i="71"/>
  <c r="L12" i="71"/>
  <c r="N12" i="71" s="1"/>
  <c r="F74" i="71"/>
  <c r="F68" i="71"/>
  <c r="F54" i="71"/>
  <c r="F35" i="71"/>
  <c r="F31" i="71"/>
  <c r="F23" i="71"/>
  <c r="F72" i="71"/>
  <c r="F34" i="71"/>
  <c r="F66" i="71"/>
  <c r="F50" i="71"/>
  <c r="F42" i="71"/>
  <c r="F21" i="71"/>
  <c r="F30" i="71"/>
  <c r="F45" i="71"/>
  <c r="H57" i="61"/>
  <c r="N16" i="61"/>
  <c r="X16" i="64"/>
  <c r="H82" i="63"/>
  <c r="P68" i="56"/>
  <c r="X16" i="56"/>
  <c r="H31" i="55"/>
  <c r="N16" i="55"/>
  <c r="D72" i="57"/>
  <c r="T78" i="51"/>
  <c r="Z30" i="51"/>
  <c r="T27" i="46"/>
  <c r="Z18" i="46"/>
  <c r="L18" i="41"/>
  <c r="D27" i="41"/>
  <c r="T27" i="37"/>
  <c r="Z18" i="37"/>
  <c r="T97" i="45"/>
  <c r="T27" i="44"/>
  <c r="X27" i="44" s="1"/>
  <c r="Z18" i="44"/>
  <c r="R116" i="36"/>
  <c r="R104" i="36"/>
  <c r="R101" i="36"/>
  <c r="R92" i="36"/>
  <c r="R84" i="36"/>
  <c r="R72" i="36"/>
  <c r="R69" i="36"/>
  <c r="R64" i="36"/>
  <c r="R61" i="36"/>
  <c r="R110" i="36"/>
  <c r="R103" i="36"/>
  <c r="R90" i="36"/>
  <c r="R86" i="36"/>
  <c r="R106" i="36"/>
  <c r="R97" i="36"/>
  <c r="R89" i="36"/>
  <c r="R112" i="36"/>
  <c r="R99" i="36"/>
  <c r="R95" i="36"/>
  <c r="R96" i="36"/>
  <c r="R91" i="36"/>
  <c r="R85" i="36"/>
  <c r="R79" i="36"/>
  <c r="R74" i="36"/>
  <c r="R66" i="36"/>
  <c r="R44" i="36"/>
  <c r="R32" i="36"/>
  <c r="X12" i="36"/>
  <c r="Z12" i="36" s="1"/>
  <c r="R87" i="36"/>
  <c r="R73" i="36"/>
  <c r="R65" i="36"/>
  <c r="R55" i="36"/>
  <c r="R52" i="36"/>
  <c r="R43" i="36"/>
  <c r="R31" i="36"/>
  <c r="R23" i="36"/>
  <c r="R98" i="36"/>
  <c r="R58" i="36"/>
  <c r="R42" i="36"/>
  <c r="R38" i="36"/>
  <c r="R30" i="36"/>
  <c r="R27" i="36"/>
  <c r="R22" i="36"/>
  <c r="R107" i="36"/>
  <c r="R88" i="36"/>
  <c r="R78" i="36"/>
  <c r="R77" i="36"/>
  <c r="R57" i="36"/>
  <c r="R54" i="36"/>
  <c r="R49" i="36"/>
  <c r="R41" i="36"/>
  <c r="R37" i="36"/>
  <c r="R29" i="36"/>
  <c r="R21" i="36"/>
  <c r="R105" i="36"/>
  <c r="R76" i="36"/>
  <c r="R71" i="36"/>
  <c r="R68" i="36"/>
  <c r="R63" i="36"/>
  <c r="R60" i="36"/>
  <c r="R48" i="36"/>
  <c r="R40" i="36"/>
  <c r="R36" i="36"/>
  <c r="R111" i="36"/>
  <c r="R109" i="36"/>
  <c r="R100" i="36"/>
  <c r="R94" i="36"/>
  <c r="R93" i="36"/>
  <c r="R75" i="36"/>
  <c r="R67" i="36"/>
  <c r="R56" i="36"/>
  <c r="R51" i="36"/>
  <c r="R47" i="36"/>
  <c r="R35" i="36"/>
  <c r="R28" i="36"/>
  <c r="R20" i="36"/>
  <c r="R81" i="36"/>
  <c r="R59" i="36"/>
  <c r="R46" i="36"/>
  <c r="R39" i="36"/>
  <c r="R34" i="36"/>
  <c r="R50" i="36"/>
  <c r="R53" i="36"/>
  <c r="R102" i="36"/>
  <c r="R82" i="36"/>
  <c r="R45" i="36"/>
  <c r="R80" i="36"/>
  <c r="R83" i="36"/>
  <c r="R70" i="36"/>
  <c r="R62" i="36"/>
  <c r="R33" i="36"/>
  <c r="P25" i="36"/>
  <c r="R25" i="36" s="1"/>
  <c r="H27" i="28"/>
  <c r="N18" i="28"/>
  <c r="X18" i="31"/>
  <c r="P27" i="31"/>
  <c r="D31" i="43"/>
  <c r="X18" i="26"/>
  <c r="P27" i="26"/>
  <c r="L18" i="22"/>
  <c r="D27" i="22"/>
  <c r="X18" i="25"/>
  <c r="P27" i="25"/>
  <c r="P31" i="34"/>
  <c r="Z27" i="38"/>
  <c r="T31" i="38"/>
  <c r="H82" i="24"/>
  <c r="T90" i="21"/>
  <c r="N27" i="22"/>
  <c r="H31" i="22"/>
  <c r="H158" i="18"/>
  <c r="H121" i="36"/>
  <c r="R84" i="24"/>
  <c r="R78" i="24"/>
  <c r="R74" i="24"/>
  <c r="R67" i="24"/>
  <c r="R62" i="24"/>
  <c r="R50" i="24"/>
  <c r="R42" i="24"/>
  <c r="R38" i="24"/>
  <c r="R22" i="24"/>
  <c r="R70" i="24"/>
  <c r="R58" i="24"/>
  <c r="R53" i="24"/>
  <c r="R49" i="24"/>
  <c r="R37" i="24"/>
  <c r="P29" i="24"/>
  <c r="R21" i="24"/>
  <c r="R77" i="24"/>
  <c r="R73" i="24"/>
  <c r="R64" i="24"/>
  <c r="R61" i="24"/>
  <c r="R48" i="24"/>
  <c r="R41" i="24"/>
  <c r="R36" i="24"/>
  <c r="R20" i="24"/>
  <c r="R55" i="24"/>
  <c r="R52" i="24"/>
  <c r="R47" i="24"/>
  <c r="R35" i="24"/>
  <c r="R27" i="24"/>
  <c r="R19" i="24"/>
  <c r="R66" i="24"/>
  <c r="R63" i="24"/>
  <c r="R46" i="24"/>
  <c r="R34" i="24"/>
  <c r="R31" i="24"/>
  <c r="R26" i="24"/>
  <c r="R18" i="24"/>
  <c r="X12" i="24"/>
  <c r="Z12" i="24" s="1"/>
  <c r="R80" i="24"/>
  <c r="R69" i="24"/>
  <c r="R57" i="24"/>
  <c r="R54" i="24"/>
  <c r="R45" i="24"/>
  <c r="R33" i="24"/>
  <c r="R25" i="24"/>
  <c r="R76" i="24"/>
  <c r="R72" i="24"/>
  <c r="R68" i="24"/>
  <c r="R65" i="24"/>
  <c r="R60" i="24"/>
  <c r="R44" i="24"/>
  <c r="R40" i="24"/>
  <c r="R24" i="24"/>
  <c r="R17" i="24"/>
  <c r="R59" i="24"/>
  <c r="R71" i="24"/>
  <c r="R56" i="24"/>
  <c r="R32" i="24"/>
  <c r="R75" i="24"/>
  <c r="R39" i="24"/>
  <c r="R23" i="24"/>
  <c r="R43" i="24"/>
  <c r="R51" i="24"/>
  <c r="H27" i="16"/>
  <c r="N18" i="16"/>
  <c r="R133" i="15"/>
  <c r="R129" i="15"/>
  <c r="R106" i="15"/>
  <c r="R101" i="15"/>
  <c r="R98" i="15"/>
  <c r="R89" i="15"/>
  <c r="R86" i="15"/>
  <c r="R77" i="15"/>
  <c r="R74" i="15"/>
  <c r="R69" i="15"/>
  <c r="R57" i="15"/>
  <c r="P49" i="15"/>
  <c r="R41" i="15"/>
  <c r="R33" i="15"/>
  <c r="R25" i="15"/>
  <c r="R148" i="15"/>
  <c r="R143" i="15"/>
  <c r="R132" i="15"/>
  <c r="R128" i="15"/>
  <c r="R68" i="15"/>
  <c r="R56" i="15"/>
  <c r="R40" i="15"/>
  <c r="R32" i="15"/>
  <c r="R24" i="15"/>
  <c r="X12" i="15"/>
  <c r="Z12" i="15" s="1"/>
  <c r="R145" i="15"/>
  <c r="R139" i="15"/>
  <c r="R135" i="15"/>
  <c r="R127" i="15"/>
  <c r="R119" i="15"/>
  <c r="R115" i="15"/>
  <c r="R103" i="15"/>
  <c r="R100" i="15"/>
  <c r="R91" i="15"/>
  <c r="R88" i="15"/>
  <c r="R79" i="15"/>
  <c r="R76" i="15"/>
  <c r="R67" i="15"/>
  <c r="R55" i="15"/>
  <c r="R47" i="15"/>
  <c r="R39" i="15"/>
  <c r="R31" i="15"/>
  <c r="R23" i="15"/>
  <c r="R138" i="15"/>
  <c r="R131" i="15"/>
  <c r="R126" i="15"/>
  <c r="R122" i="15"/>
  <c r="R118" i="15"/>
  <c r="R114" i="15"/>
  <c r="R110" i="15"/>
  <c r="R94" i="15"/>
  <c r="R82" i="15"/>
  <c r="R66" i="15"/>
  <c r="R62" i="15"/>
  <c r="R54" i="15"/>
  <c r="R51" i="15"/>
  <c r="R46" i="15"/>
  <c r="R38" i="15"/>
  <c r="R30" i="15"/>
  <c r="R22" i="15"/>
  <c r="R147" i="15"/>
  <c r="R141" i="15"/>
  <c r="R137" i="15"/>
  <c r="R134" i="15"/>
  <c r="R125" i="15"/>
  <c r="R121" i="15"/>
  <c r="R117" i="15"/>
  <c r="R113" i="15"/>
  <c r="R109" i="15"/>
  <c r="R105" i="15"/>
  <c r="R102" i="15"/>
  <c r="R97" i="15"/>
  <c r="R93" i="15"/>
  <c r="R90" i="15"/>
  <c r="R85" i="15"/>
  <c r="R81" i="15"/>
  <c r="R78" i="15"/>
  <c r="R73" i="15"/>
  <c r="R65" i="15"/>
  <c r="R61" i="15"/>
  <c r="R53" i="15"/>
  <c r="R45" i="15"/>
  <c r="R37" i="15"/>
  <c r="R29" i="15"/>
  <c r="R21" i="15"/>
  <c r="R152" i="15"/>
  <c r="R144" i="15"/>
  <c r="R124" i="15"/>
  <c r="R112" i="15"/>
  <c r="R108" i="15"/>
  <c r="R96" i="15"/>
  <c r="R84" i="15"/>
  <c r="R72" i="15"/>
  <c r="R64" i="15"/>
  <c r="R60" i="15"/>
  <c r="R44" i="15"/>
  <c r="R36" i="15"/>
  <c r="R28" i="15"/>
  <c r="R140" i="15"/>
  <c r="R136" i="15"/>
  <c r="R120" i="15"/>
  <c r="R116" i="15"/>
  <c r="R107" i="15"/>
  <c r="R104" i="15"/>
  <c r="R99" i="15"/>
  <c r="R92" i="15"/>
  <c r="R87" i="15"/>
  <c r="R80" i="15"/>
  <c r="R75" i="15"/>
  <c r="R71" i="15"/>
  <c r="R59" i="15"/>
  <c r="R52" i="15"/>
  <c r="R43" i="15"/>
  <c r="R35" i="15"/>
  <c r="R27" i="15"/>
  <c r="R20" i="15"/>
  <c r="R42" i="15"/>
  <c r="R123" i="15"/>
  <c r="R26" i="15"/>
  <c r="R49" i="15"/>
  <c r="R83" i="15"/>
  <c r="R70" i="15"/>
  <c r="R146" i="15"/>
  <c r="R130" i="15"/>
  <c r="R95" i="15"/>
  <c r="R63" i="15"/>
  <c r="R34" i="15"/>
  <c r="R111" i="15"/>
  <c r="R58" i="15"/>
  <c r="H27" i="14"/>
  <c r="N18" i="14"/>
  <c r="F23" i="21"/>
  <c r="D86" i="27"/>
  <c r="P31" i="4"/>
  <c r="L18" i="8"/>
  <c r="D27" i="8"/>
  <c r="F53" i="12"/>
  <c r="P174" i="3"/>
  <c r="X61" i="3"/>
  <c r="Z61" i="3" s="1"/>
  <c r="R99" i="67"/>
  <c r="R96" i="67"/>
  <c r="R92" i="67"/>
  <c r="R79" i="67"/>
  <c r="R76" i="67"/>
  <c r="R55" i="67"/>
  <c r="R51" i="67"/>
  <c r="R43" i="67"/>
  <c r="R35" i="67"/>
  <c r="R27" i="67"/>
  <c r="R19" i="67"/>
  <c r="R102" i="67"/>
  <c r="R70" i="67"/>
  <c r="R67" i="67"/>
  <c r="R62" i="67"/>
  <c r="R54" i="67"/>
  <c r="R50" i="67"/>
  <c r="R34" i="67"/>
  <c r="R26" i="67"/>
  <c r="R98" i="67"/>
  <c r="R81" i="67"/>
  <c r="R78" i="67"/>
  <c r="R61" i="67"/>
  <c r="R53" i="67"/>
  <c r="R49" i="67"/>
  <c r="R42" i="67"/>
  <c r="R33" i="67"/>
  <c r="R25" i="67"/>
  <c r="R18" i="67"/>
  <c r="R104" i="67"/>
  <c r="R95" i="67"/>
  <c r="R91" i="67"/>
  <c r="R87" i="67"/>
  <c r="R83" i="67"/>
  <c r="R80" i="67"/>
  <c r="R75" i="67"/>
  <c r="R59" i="67"/>
  <c r="R52" i="67"/>
  <c r="R47" i="67"/>
  <c r="R101" i="67"/>
  <c r="R94" i="67"/>
  <c r="R103" i="67"/>
  <c r="R97" i="67"/>
  <c r="R93" i="67"/>
  <c r="R82" i="67"/>
  <c r="R77" i="67"/>
  <c r="R57" i="67"/>
  <c r="R45" i="67"/>
  <c r="R37" i="67"/>
  <c r="R29" i="67"/>
  <c r="R21" i="67"/>
  <c r="R58" i="67"/>
  <c r="R44" i="67"/>
  <c r="R90" i="67"/>
  <c r="R89" i="67"/>
  <c r="R48" i="67"/>
  <c r="R36" i="67"/>
  <c r="R88" i="67"/>
  <c r="R60" i="67"/>
  <c r="R28" i="67"/>
  <c r="R69" i="67"/>
  <c r="R56" i="67"/>
  <c r="R20" i="67"/>
  <c r="R108" i="67"/>
  <c r="R71" i="67"/>
  <c r="R68" i="67"/>
  <c r="R85" i="67"/>
  <c r="R63" i="67"/>
  <c r="R32" i="67"/>
  <c r="R31" i="67"/>
  <c r="R30" i="67"/>
  <c r="R86" i="67"/>
  <c r="R84" i="67"/>
  <c r="R73" i="67"/>
  <c r="R72" i="67"/>
  <c r="R46" i="67"/>
  <c r="R41" i="67"/>
  <c r="P39" i="67"/>
  <c r="R24" i="67"/>
  <c r="R23" i="67"/>
  <c r="R22" i="67"/>
  <c r="X12" i="67"/>
  <c r="Z12" i="67" s="1"/>
  <c r="R74" i="67"/>
  <c r="R66" i="67"/>
  <c r="R65" i="67"/>
  <c r="R64" i="67"/>
  <c r="X30" i="65"/>
  <c r="Z30" i="65" s="1"/>
  <c r="P86" i="65"/>
  <c r="P65" i="57"/>
  <c r="X16" i="57"/>
  <c r="P31" i="52"/>
  <c r="L18" i="25"/>
  <c r="D27" i="25"/>
  <c r="L18" i="96"/>
  <c r="D27" i="96"/>
  <c r="V17" i="93"/>
  <c r="D28" i="92"/>
  <c r="L24" i="92"/>
  <c r="H71" i="93"/>
  <c r="F81" i="91"/>
  <c r="F64" i="91"/>
  <c r="F61" i="91"/>
  <c r="F56" i="91"/>
  <c r="F53" i="91"/>
  <c r="F87" i="91"/>
  <c r="F84" i="91"/>
  <c r="F80" i="91"/>
  <c r="F75" i="91"/>
  <c r="F79" i="91"/>
  <c r="F86" i="91"/>
  <c r="F78" i="91"/>
  <c r="F74" i="91"/>
  <c r="F46" i="91"/>
  <c r="F38" i="91"/>
  <c r="F34" i="91"/>
  <c r="F90" i="91"/>
  <c r="F77" i="91"/>
  <c r="F73" i="91"/>
  <c r="F69" i="91"/>
  <c r="F65" i="91"/>
  <c r="F60" i="91"/>
  <c r="F57" i="91"/>
  <c r="F52" i="91"/>
  <c r="F49" i="91"/>
  <c r="F45" i="91"/>
  <c r="F94" i="91"/>
  <c r="F88" i="91"/>
  <c r="F83" i="91"/>
  <c r="F76" i="91"/>
  <c r="F72" i="91"/>
  <c r="F68" i="91"/>
  <c r="F44" i="91"/>
  <c r="F63" i="91"/>
  <c r="F28" i="91"/>
  <c r="F27" i="91"/>
  <c r="F82" i="91"/>
  <c r="F70" i="91"/>
  <c r="F43" i="91"/>
  <c r="F42" i="91"/>
  <c r="F67" i="91"/>
  <c r="F54" i="91"/>
  <c r="F50" i="91"/>
  <c r="F55" i="91"/>
  <c r="F48" i="91"/>
  <c r="F26" i="91"/>
  <c r="F23" i="91"/>
  <c r="F66" i="91"/>
  <c r="F47" i="91"/>
  <c r="D23" i="91"/>
  <c r="F21" i="91"/>
  <c r="F59" i="91"/>
  <c r="F39" i="91"/>
  <c r="F20" i="91"/>
  <c r="L12" i="91"/>
  <c r="N12" i="91" s="1"/>
  <c r="F40" i="91"/>
  <c r="F51" i="91"/>
  <c r="F41" i="91"/>
  <c r="F31" i="91"/>
  <c r="F25" i="91"/>
  <c r="F62" i="91"/>
  <c r="F35" i="91"/>
  <c r="F19" i="91"/>
  <c r="F29" i="91"/>
  <c r="F85" i="91"/>
  <c r="F58" i="91"/>
  <c r="F32" i="91"/>
  <c r="F18" i="91"/>
  <c r="F71" i="91"/>
  <c r="F37" i="91"/>
  <c r="F30" i="91"/>
  <c r="F33" i="91"/>
  <c r="F36" i="91"/>
  <c r="H93" i="90"/>
  <c r="T89" i="90"/>
  <c r="D57" i="88"/>
  <c r="L16" i="88"/>
  <c r="R83" i="89"/>
  <c r="R91" i="89"/>
  <c r="R85" i="89"/>
  <c r="R81" i="89"/>
  <c r="R70" i="89"/>
  <c r="R66" i="89"/>
  <c r="R61" i="89"/>
  <c r="R80" i="89"/>
  <c r="R79" i="89"/>
  <c r="R78" i="89"/>
  <c r="R77" i="89"/>
  <c r="R76" i="89"/>
  <c r="R75" i="89"/>
  <c r="R40" i="89"/>
  <c r="R36" i="89"/>
  <c r="R28" i="89"/>
  <c r="R25" i="89"/>
  <c r="R20" i="89"/>
  <c r="X12" i="89"/>
  <c r="Z12" i="89" s="1"/>
  <c r="R71" i="89"/>
  <c r="R65" i="89"/>
  <c r="R60" i="89"/>
  <c r="R55" i="89"/>
  <c r="R52" i="89"/>
  <c r="R47" i="89"/>
  <c r="R39" i="89"/>
  <c r="R35" i="89"/>
  <c r="R27" i="89"/>
  <c r="R19" i="89"/>
  <c r="R74" i="89"/>
  <c r="R73" i="89"/>
  <c r="R72" i="89"/>
  <c r="R64" i="89"/>
  <c r="R87" i="89"/>
  <c r="R69" i="89"/>
  <c r="R68" i="89"/>
  <c r="R67" i="89"/>
  <c r="R44" i="89"/>
  <c r="R37" i="89"/>
  <c r="R32" i="89"/>
  <c r="R63" i="89"/>
  <c r="R59" i="89"/>
  <c r="R56" i="89"/>
  <c r="R51" i="89"/>
  <c r="R48" i="89"/>
  <c r="R43" i="89"/>
  <c r="R31" i="89"/>
  <c r="P23" i="89"/>
  <c r="R58" i="89"/>
  <c r="R53" i="89"/>
  <c r="R50" i="89"/>
  <c r="R41" i="89"/>
  <c r="R29" i="89"/>
  <c r="R21" i="89"/>
  <c r="R84" i="89"/>
  <c r="R54" i="89"/>
  <c r="R18" i="89"/>
  <c r="R30" i="89"/>
  <c r="R49" i="89"/>
  <c r="R82" i="89"/>
  <c r="R45" i="89"/>
  <c r="R62" i="89"/>
  <c r="R46" i="89"/>
  <c r="R42" i="89"/>
  <c r="R38" i="89"/>
  <c r="R57" i="89"/>
  <c r="R34" i="89"/>
  <c r="R33" i="89"/>
  <c r="R26" i="89"/>
  <c r="P86" i="84"/>
  <c r="X20" i="84"/>
  <c r="D26" i="82"/>
  <c r="L16" i="82"/>
  <c r="Z16" i="79"/>
  <c r="T73" i="79"/>
  <c r="F87" i="83"/>
  <c r="F75" i="83"/>
  <c r="F62" i="83"/>
  <c r="F59" i="83"/>
  <c r="F81" i="83"/>
  <c r="F53" i="83"/>
  <c r="F50" i="83"/>
  <c r="F42" i="83"/>
  <c r="F90" i="83"/>
  <c r="F84" i="83"/>
  <c r="F72" i="83"/>
  <c r="F64" i="83"/>
  <c r="F61" i="83"/>
  <c r="F56" i="83"/>
  <c r="F80" i="83"/>
  <c r="F86" i="83"/>
  <c r="F83" i="83"/>
  <c r="F79" i="83"/>
  <c r="F74" i="83"/>
  <c r="F71" i="83"/>
  <c r="F85" i="83"/>
  <c r="F77" i="83"/>
  <c r="F73" i="83"/>
  <c r="F69" i="83"/>
  <c r="F65" i="83"/>
  <c r="F60" i="83"/>
  <c r="F57" i="83"/>
  <c r="F45" i="83"/>
  <c r="F89" i="83"/>
  <c r="F76" i="83"/>
  <c r="F68" i="83"/>
  <c r="F51" i="83"/>
  <c r="F48" i="83"/>
  <c r="F44" i="83"/>
  <c r="F66" i="83"/>
  <c r="F52" i="83"/>
  <c r="F30" i="83"/>
  <c r="F23" i="83"/>
  <c r="F78" i="83"/>
  <c r="F70" i="83"/>
  <c r="F49" i="83"/>
  <c r="F41" i="83"/>
  <c r="F36" i="83"/>
  <c r="F29" i="83"/>
  <c r="D23" i="83"/>
  <c r="F21" i="83"/>
  <c r="F94" i="83"/>
  <c r="F67" i="83"/>
  <c r="F54" i="83"/>
  <c r="F43" i="83"/>
  <c r="F40" i="83"/>
  <c r="F28" i="83"/>
  <c r="F20" i="83"/>
  <c r="L12" i="83"/>
  <c r="N12" i="83" s="1"/>
  <c r="F63" i="83"/>
  <c r="F55" i="83"/>
  <c r="F39" i="83"/>
  <c r="F35" i="83"/>
  <c r="F27" i="83"/>
  <c r="F19" i="83"/>
  <c r="F38" i="83"/>
  <c r="F34" i="83"/>
  <c r="F25" i="83"/>
  <c r="F32" i="83"/>
  <c r="F82" i="83"/>
  <c r="F46" i="83"/>
  <c r="F47" i="83"/>
  <c r="F37" i="83"/>
  <c r="F31" i="83"/>
  <c r="F58" i="83"/>
  <c r="F26" i="83"/>
  <c r="F18" i="83"/>
  <c r="F33" i="83"/>
  <c r="R25" i="76"/>
  <c r="R17" i="76"/>
  <c r="R22" i="76"/>
  <c r="P22" i="76"/>
  <c r="R28" i="76"/>
  <c r="R24" i="76"/>
  <c r="R19" i="76"/>
  <c r="R20" i="76"/>
  <c r="R18" i="76"/>
  <c r="X12" i="76"/>
  <c r="Z12" i="76" s="1"/>
  <c r="R32" i="76"/>
  <c r="R26" i="76"/>
  <c r="P25" i="73"/>
  <c r="X19" i="73"/>
  <c r="Z19" i="73" s="1"/>
  <c r="P24" i="72"/>
  <c r="X16" i="72"/>
  <c r="D33" i="78"/>
  <c r="F22" i="76"/>
  <c r="R30" i="65"/>
  <c r="P35" i="64"/>
  <c r="X31" i="64"/>
  <c r="D57" i="61"/>
  <c r="L16" i="61"/>
  <c r="R80" i="63"/>
  <c r="R69" i="63"/>
  <c r="R57" i="63"/>
  <c r="R54" i="63"/>
  <c r="R45" i="63"/>
  <c r="R33" i="63"/>
  <c r="R25" i="63"/>
  <c r="R76" i="63"/>
  <c r="R72" i="63"/>
  <c r="R68" i="63"/>
  <c r="R65" i="63"/>
  <c r="R60" i="63"/>
  <c r="R44" i="63"/>
  <c r="R40" i="63"/>
  <c r="R24" i="63"/>
  <c r="R17" i="63"/>
  <c r="R75" i="63"/>
  <c r="R71" i="63"/>
  <c r="R59" i="63"/>
  <c r="R56" i="63"/>
  <c r="R51" i="63"/>
  <c r="R43" i="63"/>
  <c r="R39" i="63"/>
  <c r="R32" i="63"/>
  <c r="R84" i="63"/>
  <c r="R78" i="63"/>
  <c r="R74" i="63"/>
  <c r="R67" i="63"/>
  <c r="R62" i="63"/>
  <c r="R50" i="63"/>
  <c r="R42" i="63"/>
  <c r="R38" i="63"/>
  <c r="R29" i="63"/>
  <c r="R22" i="63"/>
  <c r="R55" i="63"/>
  <c r="R52" i="63"/>
  <c r="R47" i="63"/>
  <c r="R35" i="63"/>
  <c r="R66" i="63"/>
  <c r="R63" i="63"/>
  <c r="R46" i="63"/>
  <c r="R70" i="63"/>
  <c r="R61" i="63"/>
  <c r="R37" i="63"/>
  <c r="R31" i="63"/>
  <c r="R23" i="63"/>
  <c r="R19" i="63"/>
  <c r="R18" i="63"/>
  <c r="R21" i="63"/>
  <c r="R20" i="63"/>
  <c r="X12" i="63"/>
  <c r="Z12" i="63" s="1"/>
  <c r="R34" i="63"/>
  <c r="R58" i="63"/>
  <c r="R48" i="63"/>
  <c r="R64" i="63"/>
  <c r="R49" i="63"/>
  <c r="R41" i="63"/>
  <c r="R27" i="63"/>
  <c r="R26" i="63"/>
  <c r="R73" i="63"/>
  <c r="R36" i="63"/>
  <c r="R53" i="63"/>
  <c r="R77" i="63"/>
  <c r="P29" i="63"/>
  <c r="X16" i="60"/>
  <c r="P58" i="60"/>
  <c r="T60" i="59"/>
  <c r="Z16" i="59"/>
  <c r="T103" i="62"/>
  <c r="T72" i="56"/>
  <c r="T27" i="49"/>
  <c r="Z18" i="49"/>
  <c r="P75" i="48"/>
  <c r="L18" i="37"/>
  <c r="D27" i="37"/>
  <c r="X18" i="46"/>
  <c r="J22" i="33"/>
  <c r="H73" i="33"/>
  <c r="D31" i="38"/>
  <c r="T27" i="32"/>
  <c r="Z18" i="32"/>
  <c r="T27" i="19"/>
  <c r="Z18" i="19"/>
  <c r="D118" i="30"/>
  <c r="L39" i="30"/>
  <c r="V23" i="21"/>
  <c r="H27" i="37"/>
  <c r="N18" i="37"/>
  <c r="H27" i="19"/>
  <c r="N18" i="19"/>
  <c r="X18" i="13"/>
  <c r="P27" i="13"/>
  <c r="T27" i="17"/>
  <c r="Z18" i="17"/>
  <c r="H27" i="5"/>
  <c r="N18" i="5"/>
  <c r="L18" i="16"/>
  <c r="D27" i="16"/>
  <c r="D31" i="26"/>
  <c r="L18" i="14"/>
  <c r="D27" i="14"/>
  <c r="H27" i="7"/>
  <c r="N18" i="7"/>
  <c r="T27" i="11"/>
  <c r="X27" i="11" s="1"/>
  <c r="Z18" i="11"/>
  <c r="X18" i="5"/>
  <c r="P27" i="5"/>
  <c r="H102" i="9"/>
  <c r="H27" i="95"/>
  <c r="L27" i="95" s="1"/>
  <c r="N18" i="95"/>
  <c r="P34" i="80"/>
  <c r="H29" i="73"/>
  <c r="F56" i="63"/>
  <c r="F53" i="63"/>
  <c r="F49" i="63"/>
  <c r="F37" i="63"/>
  <c r="F32" i="63"/>
  <c r="F21" i="63"/>
  <c r="F67" i="63"/>
  <c r="F64" i="63"/>
  <c r="F48" i="63"/>
  <c r="F36" i="63"/>
  <c r="F20" i="63"/>
  <c r="F70" i="63"/>
  <c r="F58" i="63"/>
  <c r="F55" i="63"/>
  <c r="F47" i="63"/>
  <c r="F35" i="63"/>
  <c r="D29" i="63"/>
  <c r="F27" i="63"/>
  <c r="F77" i="63"/>
  <c r="F73" i="63"/>
  <c r="F66" i="63"/>
  <c r="F61" i="63"/>
  <c r="F46" i="63"/>
  <c r="F41" i="63"/>
  <c r="F34" i="63"/>
  <c r="F26" i="63"/>
  <c r="F18" i="63"/>
  <c r="L12" i="63"/>
  <c r="N12" i="63" s="1"/>
  <c r="F80" i="63"/>
  <c r="F75" i="63"/>
  <c r="F71" i="63"/>
  <c r="F59" i="63"/>
  <c r="F54" i="63"/>
  <c r="F51" i="63"/>
  <c r="F43" i="63"/>
  <c r="F39" i="63"/>
  <c r="F84" i="63"/>
  <c r="F78" i="63"/>
  <c r="F74" i="63"/>
  <c r="F65" i="63"/>
  <c r="F62" i="63"/>
  <c r="F50" i="63"/>
  <c r="F42" i="63"/>
  <c r="F38" i="63"/>
  <c r="F76" i="63"/>
  <c r="F45" i="63"/>
  <c r="F68" i="63"/>
  <c r="F69" i="63"/>
  <c r="F60" i="63"/>
  <c r="F33" i="63"/>
  <c r="F31" i="63"/>
  <c r="F19" i="63"/>
  <c r="F25" i="63"/>
  <c r="F17" i="63"/>
  <c r="F44" i="63"/>
  <c r="F57" i="63"/>
  <c r="F72" i="63"/>
  <c r="F22" i="63"/>
  <c r="F52" i="63"/>
  <c r="F23" i="63"/>
  <c r="F63" i="63"/>
  <c r="F40" i="63"/>
  <c r="F24" i="63"/>
  <c r="L18" i="47"/>
  <c r="D27" i="47"/>
  <c r="X18" i="35"/>
  <c r="P27" i="35"/>
  <c r="D71" i="93"/>
  <c r="L17" i="93"/>
  <c r="N17" i="93" s="1"/>
  <c r="F91" i="90"/>
  <c r="F85" i="90"/>
  <c r="F77" i="90"/>
  <c r="F73" i="90"/>
  <c r="F82" i="90"/>
  <c r="F75" i="90"/>
  <c r="F71" i="90"/>
  <c r="F67" i="90"/>
  <c r="F70" i="90"/>
  <c r="F84" i="90"/>
  <c r="F81" i="90"/>
  <c r="F64" i="90"/>
  <c r="F61" i="90"/>
  <c r="F56" i="90"/>
  <c r="F53" i="90"/>
  <c r="F48" i="90"/>
  <c r="F55" i="90"/>
  <c r="F51" i="90"/>
  <c r="F44" i="90"/>
  <c r="F32" i="90"/>
  <c r="F78" i="90"/>
  <c r="F50" i="90"/>
  <c r="F43" i="90"/>
  <c r="F31" i="90"/>
  <c r="F26" i="90"/>
  <c r="F69" i="90"/>
  <c r="F60" i="90"/>
  <c r="F49" i="90"/>
  <c r="F42" i="90"/>
  <c r="F37" i="90"/>
  <c r="F30" i="90"/>
  <c r="F87" i="90"/>
  <c r="F72" i="90"/>
  <c r="F68" i="90"/>
  <c r="F66" i="90"/>
  <c r="F65" i="90"/>
  <c r="F54" i="90"/>
  <c r="F41" i="90"/>
  <c r="F29" i="90"/>
  <c r="D23" i="90"/>
  <c r="F21" i="90"/>
  <c r="F80" i="90"/>
  <c r="F79" i="90"/>
  <c r="F63" i="90"/>
  <c r="F59" i="90"/>
  <c r="F40" i="90"/>
  <c r="F36" i="90"/>
  <c r="F28" i="90"/>
  <c r="F20" i="90"/>
  <c r="L12" i="90"/>
  <c r="N12" i="90" s="1"/>
  <c r="F74" i="90"/>
  <c r="F58" i="90"/>
  <c r="F57" i="90"/>
  <c r="F39" i="90"/>
  <c r="F35" i="90"/>
  <c r="F27" i="90"/>
  <c r="F19" i="90"/>
  <c r="F45" i="90"/>
  <c r="F46" i="90"/>
  <c r="F83" i="90"/>
  <c r="F25" i="90"/>
  <c r="F62" i="90"/>
  <c r="F33" i="90"/>
  <c r="F18" i="90"/>
  <c r="F76" i="90"/>
  <c r="F34" i="90"/>
  <c r="F52" i="90"/>
  <c r="F38" i="90"/>
  <c r="F47" i="90"/>
  <c r="H93" i="84"/>
  <c r="H26" i="86"/>
  <c r="N16" i="86"/>
  <c r="Z21" i="74"/>
  <c r="T83" i="74"/>
  <c r="V21" i="74"/>
  <c r="T25" i="73"/>
  <c r="V19" i="73"/>
  <c r="H73" i="79"/>
  <c r="N16" i="79"/>
  <c r="D73" i="79"/>
  <c r="L16" i="79"/>
  <c r="H34" i="76"/>
  <c r="H87" i="74"/>
  <c r="L30" i="69"/>
  <c r="D78" i="69"/>
  <c r="F73" i="69"/>
  <c r="H28" i="72"/>
  <c r="N24" i="72"/>
  <c r="P100" i="62"/>
  <c r="X96" i="62"/>
  <c r="Z96" i="62" s="1"/>
  <c r="H31" i="64"/>
  <c r="N16" i="64"/>
  <c r="T89" i="63"/>
  <c r="L16" i="64"/>
  <c r="D31" i="64"/>
  <c r="L16" i="59"/>
  <c r="D60" i="59"/>
  <c r="L18" i="49"/>
  <c r="D27" i="49"/>
  <c r="N17" i="48"/>
  <c r="H71" i="48"/>
  <c r="J17" i="48"/>
  <c r="H27" i="44"/>
  <c r="N18" i="44"/>
  <c r="H27" i="35"/>
  <c r="N18" i="35"/>
  <c r="T114" i="36"/>
  <c r="L18" i="19"/>
  <c r="D27" i="19"/>
  <c r="D31" i="29"/>
  <c r="F77" i="24"/>
  <c r="F73" i="24"/>
  <c r="F66" i="24"/>
  <c r="F61" i="24"/>
  <c r="F46" i="24"/>
  <c r="F41" i="24"/>
  <c r="F34" i="24"/>
  <c r="F26" i="24"/>
  <c r="F18" i="24"/>
  <c r="L12" i="24"/>
  <c r="N12" i="24" s="1"/>
  <c r="F69" i="24"/>
  <c r="F57" i="24"/>
  <c r="F52" i="24"/>
  <c r="F45" i="24"/>
  <c r="F33" i="24"/>
  <c r="F25" i="24"/>
  <c r="F76" i="24"/>
  <c r="F72" i="24"/>
  <c r="F68" i="24"/>
  <c r="F63" i="24"/>
  <c r="F60" i="24"/>
  <c r="F44" i="24"/>
  <c r="F40" i="24"/>
  <c r="F31" i="24"/>
  <c r="F24" i="24"/>
  <c r="F80" i="24"/>
  <c r="F75" i="24"/>
  <c r="F71" i="24"/>
  <c r="F59" i="24"/>
  <c r="F54" i="24"/>
  <c r="F51" i="24"/>
  <c r="F43" i="24"/>
  <c r="F39" i="24"/>
  <c r="F23" i="24"/>
  <c r="F84" i="24"/>
  <c r="F78" i="24"/>
  <c r="F74" i="24"/>
  <c r="F65" i="24"/>
  <c r="F62" i="24"/>
  <c r="F50" i="24"/>
  <c r="F42" i="24"/>
  <c r="F38" i="24"/>
  <c r="F22" i="24"/>
  <c r="F17" i="24"/>
  <c r="F56" i="24"/>
  <c r="F53" i="24"/>
  <c r="F49" i="24"/>
  <c r="F37" i="24"/>
  <c r="F32" i="24"/>
  <c r="F21" i="24"/>
  <c r="F67" i="24"/>
  <c r="F64" i="24"/>
  <c r="F48" i="24"/>
  <c r="F36" i="24"/>
  <c r="F20" i="24"/>
  <c r="F19" i="24"/>
  <c r="F55" i="24"/>
  <c r="F27" i="24"/>
  <c r="F58" i="24"/>
  <c r="F70" i="24"/>
  <c r="F47" i="24"/>
  <c r="D29" i="24"/>
  <c r="F35" i="24"/>
  <c r="X18" i="23"/>
  <c r="P27" i="23"/>
  <c r="T31" i="31"/>
  <c r="Z27" i="31"/>
  <c r="N23" i="21"/>
  <c r="J23" i="21"/>
  <c r="H90" i="21"/>
  <c r="L18" i="34"/>
  <c r="D27" i="34"/>
  <c r="F113" i="30"/>
  <c r="Z27" i="20"/>
  <c r="T31" i="20"/>
  <c r="L18" i="17"/>
  <c r="D27" i="17"/>
  <c r="R80" i="21"/>
  <c r="R75" i="21"/>
  <c r="R71" i="21"/>
  <c r="R68" i="21"/>
  <c r="R64" i="21"/>
  <c r="R59" i="21"/>
  <c r="R56" i="21"/>
  <c r="R43" i="21"/>
  <c r="R36" i="21"/>
  <c r="R31" i="21"/>
  <c r="P23" i="21"/>
  <c r="R92" i="21"/>
  <c r="R86" i="21"/>
  <c r="R83" i="21"/>
  <c r="R50" i="21"/>
  <c r="R47" i="21"/>
  <c r="R42" i="21"/>
  <c r="R30" i="21"/>
  <c r="R74" i="21"/>
  <c r="R70" i="21"/>
  <c r="R61" i="21"/>
  <c r="R58" i="21"/>
  <c r="R41" i="21"/>
  <c r="R29" i="21"/>
  <c r="R21" i="21"/>
  <c r="R85" i="21"/>
  <c r="R52" i="21"/>
  <c r="R49" i="21"/>
  <c r="R40" i="21"/>
  <c r="R28" i="21"/>
  <c r="R25" i="21"/>
  <c r="R20" i="21"/>
  <c r="X12" i="21"/>
  <c r="Z12" i="21" s="1"/>
  <c r="R79" i="21"/>
  <c r="R67" i="21"/>
  <c r="R63" i="21"/>
  <c r="R60" i="21"/>
  <c r="R55" i="21"/>
  <c r="R39" i="21"/>
  <c r="R35" i="21"/>
  <c r="R27" i="21"/>
  <c r="R19" i="21"/>
  <c r="R82" i="21"/>
  <c r="R78" i="21"/>
  <c r="R66" i="21"/>
  <c r="R54" i="21"/>
  <c r="R51" i="21"/>
  <c r="R46" i="21"/>
  <c r="R38" i="21"/>
  <c r="R34" i="21"/>
  <c r="R88" i="21"/>
  <c r="R81" i="21"/>
  <c r="R77" i="21"/>
  <c r="R73" i="21"/>
  <c r="R69" i="21"/>
  <c r="R65" i="21"/>
  <c r="R62" i="21"/>
  <c r="R57" i="21"/>
  <c r="R45" i="21"/>
  <c r="R37" i="21"/>
  <c r="R33" i="21"/>
  <c r="R26" i="21"/>
  <c r="R18" i="21"/>
  <c r="R84" i="21"/>
  <c r="R23" i="21"/>
  <c r="R72" i="21"/>
  <c r="R48" i="21"/>
  <c r="R44" i="21"/>
  <c r="R76" i="21"/>
  <c r="R53" i="21"/>
  <c r="R32" i="21"/>
  <c r="X18" i="17"/>
  <c r="P27" i="17"/>
  <c r="F143" i="15"/>
  <c r="P31" i="14"/>
  <c r="L18" i="26"/>
  <c r="P31" i="11"/>
  <c r="L18" i="11"/>
  <c r="D27" i="11"/>
  <c r="H157" i="12"/>
  <c r="N53" i="12"/>
  <c r="H36" i="8"/>
  <c r="N36" i="8" s="1"/>
  <c r="N31" i="8"/>
  <c r="T92" i="91"/>
  <c r="P31" i="96"/>
  <c r="X27" i="96"/>
  <c r="L39" i="67"/>
  <c r="D106" i="67"/>
  <c r="P60" i="59"/>
  <c r="X16" i="59"/>
  <c r="T72" i="57"/>
  <c r="T108" i="39"/>
  <c r="V25" i="39"/>
  <c r="H118" i="30"/>
  <c r="N39" i="30"/>
  <c r="J39" i="30"/>
  <c r="X27" i="43"/>
  <c r="P31" i="43"/>
  <c r="X18" i="94"/>
  <c r="P27" i="94"/>
  <c r="X18" i="95"/>
  <c r="P27" i="95"/>
  <c r="T27" i="94"/>
  <c r="Z18" i="94"/>
  <c r="H27" i="96"/>
  <c r="N18" i="96"/>
  <c r="H92" i="91"/>
  <c r="D51" i="85"/>
  <c r="P61" i="88"/>
  <c r="T86" i="84"/>
  <c r="Z20" i="84"/>
  <c r="P77" i="79"/>
  <c r="X73" i="79"/>
  <c r="T90" i="77"/>
  <c r="V23" i="77"/>
  <c r="R73" i="77"/>
  <c r="R70" i="77"/>
  <c r="R62" i="77"/>
  <c r="R57" i="77"/>
  <c r="R45" i="77"/>
  <c r="R37" i="77"/>
  <c r="R85" i="77"/>
  <c r="R80" i="77"/>
  <c r="R65" i="77"/>
  <c r="R53" i="77"/>
  <c r="R48" i="77"/>
  <c r="R44" i="77"/>
  <c r="R82" i="77"/>
  <c r="R78" i="77"/>
  <c r="R50" i="77"/>
  <c r="R47" i="77"/>
  <c r="R42" i="77"/>
  <c r="R88" i="77"/>
  <c r="R77" i="77"/>
  <c r="R69" i="77"/>
  <c r="R61" i="77"/>
  <c r="R58" i="77"/>
  <c r="R41" i="77"/>
  <c r="R75" i="77"/>
  <c r="R71" i="77"/>
  <c r="R67" i="77"/>
  <c r="R63" i="77"/>
  <c r="R60" i="77"/>
  <c r="R55" i="77"/>
  <c r="R39" i="77"/>
  <c r="R35" i="77"/>
  <c r="R81" i="77"/>
  <c r="R68" i="77"/>
  <c r="R31" i="77"/>
  <c r="P23" i="77"/>
  <c r="R59" i="77"/>
  <c r="R46" i="77"/>
  <c r="R30" i="77"/>
  <c r="R83" i="77"/>
  <c r="R74" i="77"/>
  <c r="R64" i="77"/>
  <c r="R51" i="77"/>
  <c r="R38" i="77"/>
  <c r="R29" i="77"/>
  <c r="R21" i="77"/>
  <c r="R66" i="77"/>
  <c r="R49" i="77"/>
  <c r="R43" i="77"/>
  <c r="R28" i="77"/>
  <c r="R25" i="77"/>
  <c r="R20" i="77"/>
  <c r="X12" i="77"/>
  <c r="Z12" i="77" s="1"/>
  <c r="R27" i="77"/>
  <c r="R19" i="77"/>
  <c r="R92" i="77"/>
  <c r="R86" i="77"/>
  <c r="R76" i="77"/>
  <c r="R56" i="77"/>
  <c r="R40" i="77"/>
  <c r="R36" i="77"/>
  <c r="R34" i="77"/>
  <c r="R33" i="77"/>
  <c r="R26" i="77"/>
  <c r="R18" i="77"/>
  <c r="R52" i="77"/>
  <c r="R23" i="77"/>
  <c r="R84" i="77"/>
  <c r="R79" i="77"/>
  <c r="R72" i="77"/>
  <c r="R32" i="77"/>
  <c r="R54" i="77"/>
  <c r="L16" i="72"/>
  <c r="D24" i="72"/>
  <c r="H87" i="75"/>
  <c r="T70" i="71"/>
  <c r="V19" i="71"/>
  <c r="V22" i="76"/>
  <c r="L23" i="77"/>
  <c r="D90" i="77"/>
  <c r="T73" i="68"/>
  <c r="T78" i="69"/>
  <c r="V30" i="69"/>
  <c r="Z16" i="61"/>
  <c r="T57" i="61"/>
  <c r="T74" i="58"/>
  <c r="Z16" i="58"/>
  <c r="H64" i="59"/>
  <c r="D65" i="60"/>
  <c r="X16" i="58"/>
  <c r="H74" i="58"/>
  <c r="N16" i="58"/>
  <c r="T22" i="54"/>
  <c r="Z16" i="54"/>
  <c r="N16" i="57"/>
  <c r="H65" i="57"/>
  <c r="H68" i="56"/>
  <c r="N16" i="56"/>
  <c r="Z17" i="48"/>
  <c r="T71" i="48"/>
  <c r="X71" i="48" s="1"/>
  <c r="V17" i="48"/>
  <c r="P38" i="55"/>
  <c r="D31" i="52"/>
  <c r="Z27" i="53"/>
  <c r="T31" i="53"/>
  <c r="V30" i="51"/>
  <c r="X16" i="54"/>
  <c r="X18" i="50"/>
  <c r="P27" i="50"/>
  <c r="T27" i="40"/>
  <c r="Z18" i="40"/>
  <c r="F65" i="51"/>
  <c r="F62" i="51"/>
  <c r="F57" i="51"/>
  <c r="F76" i="51"/>
  <c r="F70" i="51"/>
  <c r="F80" i="51"/>
  <c r="F75" i="51"/>
  <c r="F73" i="51"/>
  <c r="F68" i="51"/>
  <c r="F63" i="51"/>
  <c r="F60" i="51"/>
  <c r="F55" i="51"/>
  <c r="F71" i="51"/>
  <c r="F69" i="51"/>
  <c r="F61" i="51"/>
  <c r="F59" i="51"/>
  <c r="F58" i="51"/>
  <c r="F45" i="51"/>
  <c r="F41" i="51"/>
  <c r="F32" i="51"/>
  <c r="F25" i="51"/>
  <c r="F53" i="51"/>
  <c r="F52" i="51"/>
  <c r="F51" i="51"/>
  <c r="F39" i="51"/>
  <c r="F23" i="51"/>
  <c r="F18" i="51"/>
  <c r="F74" i="51"/>
  <c r="F50" i="51"/>
  <c r="F38" i="51"/>
  <c r="F33" i="51"/>
  <c r="F22" i="51"/>
  <c r="F49" i="51"/>
  <c r="F44" i="51"/>
  <c r="F37" i="51"/>
  <c r="F30" i="51"/>
  <c r="F21" i="51"/>
  <c r="F64" i="51"/>
  <c r="F48" i="51"/>
  <c r="F36" i="51"/>
  <c r="D30" i="51"/>
  <c r="F28" i="51"/>
  <c r="F20" i="51"/>
  <c r="L12" i="51"/>
  <c r="N12" i="51" s="1"/>
  <c r="F67" i="51"/>
  <c r="F66" i="51"/>
  <c r="F47" i="51"/>
  <c r="F43" i="51"/>
  <c r="F35" i="51"/>
  <c r="F27" i="51"/>
  <c r="F19" i="51"/>
  <c r="F56" i="51"/>
  <c r="F46" i="51"/>
  <c r="F42" i="51"/>
  <c r="F34" i="51"/>
  <c r="F26" i="51"/>
  <c r="F40" i="51"/>
  <c r="F54" i="51"/>
  <c r="F24" i="51"/>
  <c r="H27" i="47"/>
  <c r="N18" i="47"/>
  <c r="H103" i="42"/>
  <c r="H27" i="41"/>
  <c r="N18" i="41"/>
  <c r="R96" i="42"/>
  <c r="R93" i="42"/>
  <c r="R84" i="42"/>
  <c r="R76" i="42"/>
  <c r="R53" i="42"/>
  <c r="R48" i="42"/>
  <c r="R44" i="42"/>
  <c r="R32" i="42"/>
  <c r="R23" i="42"/>
  <c r="R99" i="42"/>
  <c r="R83" i="42"/>
  <c r="R79" i="42"/>
  <c r="R75" i="42"/>
  <c r="R71" i="42"/>
  <c r="R67" i="42"/>
  <c r="R64" i="42"/>
  <c r="R59" i="42"/>
  <c r="R56" i="42"/>
  <c r="R43" i="42"/>
  <c r="R36" i="42"/>
  <c r="R31" i="42"/>
  <c r="P23" i="42"/>
  <c r="R95" i="42"/>
  <c r="R82" i="42"/>
  <c r="R74" i="42"/>
  <c r="R70" i="42"/>
  <c r="R50" i="42"/>
  <c r="R47" i="42"/>
  <c r="R42" i="42"/>
  <c r="R30" i="42"/>
  <c r="R101" i="42"/>
  <c r="R89" i="42"/>
  <c r="R81" i="42"/>
  <c r="R78" i="42"/>
  <c r="R73" i="42"/>
  <c r="R69" i="42"/>
  <c r="R66" i="42"/>
  <c r="R61" i="42"/>
  <c r="R58" i="42"/>
  <c r="R41" i="42"/>
  <c r="R29" i="42"/>
  <c r="R21" i="42"/>
  <c r="R92" i="42"/>
  <c r="R88" i="42"/>
  <c r="R52" i="42"/>
  <c r="R49" i="42"/>
  <c r="R40" i="42"/>
  <c r="R28" i="42"/>
  <c r="R25" i="42"/>
  <c r="R20" i="42"/>
  <c r="X12" i="42"/>
  <c r="Z12" i="42" s="1"/>
  <c r="R98" i="42"/>
  <c r="R91" i="42"/>
  <c r="R87" i="42"/>
  <c r="R80" i="42"/>
  <c r="R72" i="42"/>
  <c r="R68" i="42"/>
  <c r="R63" i="42"/>
  <c r="R60" i="42"/>
  <c r="R55" i="42"/>
  <c r="R39" i="42"/>
  <c r="R35" i="42"/>
  <c r="R27" i="42"/>
  <c r="R19" i="42"/>
  <c r="R100" i="42"/>
  <c r="R94" i="42"/>
  <c r="R86" i="42"/>
  <c r="R54" i="42"/>
  <c r="R51" i="42"/>
  <c r="R46" i="42"/>
  <c r="R38" i="42"/>
  <c r="R34" i="42"/>
  <c r="R65" i="42"/>
  <c r="R62" i="42"/>
  <c r="R57" i="42"/>
  <c r="R18" i="42"/>
  <c r="R33" i="42"/>
  <c r="R90" i="42"/>
  <c r="R26" i="42"/>
  <c r="R105" i="42"/>
  <c r="R45" i="42"/>
  <c r="R37" i="42"/>
  <c r="R85" i="42"/>
  <c r="R77" i="42"/>
  <c r="P27" i="37"/>
  <c r="X18" i="37"/>
  <c r="H27" i="38"/>
  <c r="N18" i="38"/>
  <c r="X39" i="30"/>
  <c r="P118" i="30"/>
  <c r="H115" i="39"/>
  <c r="T27" i="34"/>
  <c r="Z18" i="34"/>
  <c r="H36" i="34"/>
  <c r="N36" i="34" s="1"/>
  <c r="N31" i="34"/>
  <c r="P27" i="22"/>
  <c r="X18" i="22"/>
  <c r="V61" i="3"/>
  <c r="T174" i="3"/>
  <c r="T27" i="5"/>
  <c r="Z18" i="5"/>
  <c r="H27" i="13"/>
  <c r="N18" i="13"/>
  <c r="T27" i="7"/>
  <c r="X27" i="7" s="1"/>
  <c r="Z18" i="7"/>
  <c r="X18" i="8"/>
  <c r="P157" i="12"/>
  <c r="X53" i="12"/>
  <c r="Z53" i="12" s="1"/>
  <c r="H31" i="6"/>
  <c r="N26" i="6"/>
  <c r="X18" i="7"/>
  <c r="D31" i="87"/>
  <c r="L27" i="87"/>
  <c r="T92" i="83"/>
  <c r="F82" i="65"/>
  <c r="F80" i="65"/>
  <c r="F75" i="65"/>
  <c r="F78" i="65"/>
  <c r="F84" i="65"/>
  <c r="F71" i="65"/>
  <c r="F67" i="65"/>
  <c r="F64" i="65"/>
  <c r="F59" i="65"/>
  <c r="F56" i="65"/>
  <c r="F52" i="65"/>
  <c r="F40" i="65"/>
  <c r="F24" i="65"/>
  <c r="F83" i="65"/>
  <c r="F81" i="65"/>
  <c r="F51" i="65"/>
  <c r="F39" i="65"/>
  <c r="F23" i="65"/>
  <c r="F18" i="65"/>
  <c r="F77" i="65"/>
  <c r="F73" i="65"/>
  <c r="F70" i="65"/>
  <c r="F66" i="65"/>
  <c r="F61" i="65"/>
  <c r="F58" i="65"/>
  <c r="F50" i="65"/>
  <c r="F38" i="65"/>
  <c r="F33" i="65"/>
  <c r="F22" i="65"/>
  <c r="F88" i="65"/>
  <c r="F69" i="65"/>
  <c r="F49" i="65"/>
  <c r="F44" i="65"/>
  <c r="F37" i="65"/>
  <c r="F30" i="65"/>
  <c r="F21" i="65"/>
  <c r="F72" i="65"/>
  <c r="F68" i="65"/>
  <c r="F63" i="65"/>
  <c r="F60" i="65"/>
  <c r="F55" i="65"/>
  <c r="F48" i="65"/>
  <c r="F36" i="65"/>
  <c r="D30" i="65"/>
  <c r="F28" i="65"/>
  <c r="F20" i="65"/>
  <c r="L12" i="65"/>
  <c r="N12" i="65" s="1"/>
  <c r="F76" i="65"/>
  <c r="F47" i="65"/>
  <c r="F43" i="65"/>
  <c r="F35" i="65"/>
  <c r="F27" i="65"/>
  <c r="F19" i="65"/>
  <c r="F74" i="65"/>
  <c r="F65" i="65"/>
  <c r="F62" i="65"/>
  <c r="F57" i="65"/>
  <c r="F54" i="65"/>
  <c r="F46" i="65"/>
  <c r="F42" i="65"/>
  <c r="F34" i="65"/>
  <c r="F26" i="65"/>
  <c r="F53" i="65"/>
  <c r="F45" i="65"/>
  <c r="F41" i="65"/>
  <c r="F32" i="65"/>
  <c r="F25" i="65"/>
  <c r="H27" i="43"/>
  <c r="N18" i="43"/>
  <c r="L27" i="40"/>
  <c r="D31" i="40"/>
  <c r="L18" i="23"/>
  <c r="D27" i="23"/>
  <c r="R84" i="27"/>
  <c r="R78" i="27"/>
  <c r="R74" i="27"/>
  <c r="R71" i="27"/>
  <c r="R73" i="27"/>
  <c r="R88" i="27"/>
  <c r="R80" i="27"/>
  <c r="R51" i="27"/>
  <c r="R44" i="27"/>
  <c r="R39" i="27"/>
  <c r="R30" i="27"/>
  <c r="R23" i="27"/>
  <c r="R83" i="27"/>
  <c r="R70" i="27"/>
  <c r="R66" i="27"/>
  <c r="R63" i="27"/>
  <c r="R58" i="27"/>
  <c r="R55" i="27"/>
  <c r="R50" i="27"/>
  <c r="R38" i="27"/>
  <c r="P30" i="27"/>
  <c r="R22" i="27"/>
  <c r="R82" i="27"/>
  <c r="R81" i="27"/>
  <c r="R69" i="27"/>
  <c r="R49" i="27"/>
  <c r="R37" i="27"/>
  <c r="R21" i="27"/>
  <c r="R77" i="27"/>
  <c r="R76" i="27"/>
  <c r="R68" i="27"/>
  <c r="R65" i="27"/>
  <c r="R60" i="27"/>
  <c r="R57" i="27"/>
  <c r="R48" i="27"/>
  <c r="R36" i="27"/>
  <c r="R28" i="27"/>
  <c r="R20" i="27"/>
  <c r="X12" i="27"/>
  <c r="Z12" i="27" s="1"/>
  <c r="R47" i="27"/>
  <c r="R43" i="27"/>
  <c r="R35" i="27"/>
  <c r="R32" i="27"/>
  <c r="R27" i="27"/>
  <c r="R19" i="27"/>
  <c r="R67" i="27"/>
  <c r="R62" i="27"/>
  <c r="R59" i="27"/>
  <c r="R54" i="27"/>
  <c r="R46" i="27"/>
  <c r="R42" i="27"/>
  <c r="R34" i="27"/>
  <c r="R26" i="27"/>
  <c r="R75" i="27"/>
  <c r="R72" i="27"/>
  <c r="R53" i="27"/>
  <c r="R45" i="27"/>
  <c r="R41" i="27"/>
  <c r="R25" i="27"/>
  <c r="R18" i="27"/>
  <c r="R24" i="27"/>
  <c r="R64" i="27"/>
  <c r="R61" i="27"/>
  <c r="R33" i="27"/>
  <c r="R52" i="27"/>
  <c r="R40" i="27"/>
  <c r="R56" i="27"/>
  <c r="Z27" i="22"/>
  <c r="T31" i="22"/>
  <c r="T27" i="14"/>
  <c r="X27" i="14" s="1"/>
  <c r="Z18" i="14"/>
  <c r="P31" i="16"/>
  <c r="L18" i="94"/>
  <c r="D27" i="94"/>
  <c r="T27" i="95"/>
  <c r="Z18" i="95"/>
  <c r="P75" i="93"/>
  <c r="R81" i="90"/>
  <c r="R74" i="90"/>
  <c r="R83" i="90"/>
  <c r="R79" i="90"/>
  <c r="R78" i="90"/>
  <c r="R91" i="90"/>
  <c r="R85" i="90"/>
  <c r="R82" i="90"/>
  <c r="R77" i="90"/>
  <c r="R73" i="90"/>
  <c r="R65" i="90"/>
  <c r="R62" i="90"/>
  <c r="R57" i="90"/>
  <c r="R54" i="90"/>
  <c r="R49" i="90"/>
  <c r="R45" i="90"/>
  <c r="R72" i="90"/>
  <c r="R71" i="90"/>
  <c r="R67" i="90"/>
  <c r="R66" i="90"/>
  <c r="R63" i="90"/>
  <c r="R59" i="90"/>
  <c r="R40" i="90"/>
  <c r="R36" i="90"/>
  <c r="R28" i="90"/>
  <c r="R25" i="90"/>
  <c r="R20" i="90"/>
  <c r="X12" i="90"/>
  <c r="Z12" i="90" s="1"/>
  <c r="R80" i="90"/>
  <c r="R58" i="90"/>
  <c r="R56" i="90"/>
  <c r="R53" i="90"/>
  <c r="R52" i="90"/>
  <c r="R39" i="90"/>
  <c r="R35" i="90"/>
  <c r="R27" i="90"/>
  <c r="R47" i="90"/>
  <c r="R38" i="90"/>
  <c r="R34" i="90"/>
  <c r="R76" i="90"/>
  <c r="R75" i="90"/>
  <c r="R46" i="90"/>
  <c r="R33" i="90"/>
  <c r="R26" i="90"/>
  <c r="R18" i="90"/>
  <c r="R84" i="90"/>
  <c r="R55" i="90"/>
  <c r="R51" i="90"/>
  <c r="R44" i="90"/>
  <c r="R37" i="90"/>
  <c r="R32" i="90"/>
  <c r="R23" i="90"/>
  <c r="R61" i="90"/>
  <c r="R60" i="90"/>
  <c r="R50" i="90"/>
  <c r="R43" i="90"/>
  <c r="R31" i="90"/>
  <c r="P23" i="90"/>
  <c r="R87" i="90"/>
  <c r="R68" i="90"/>
  <c r="R69" i="90"/>
  <c r="R48" i="90"/>
  <c r="R29" i="90"/>
  <c r="R19" i="90"/>
  <c r="R70" i="90"/>
  <c r="R64" i="90"/>
  <c r="R41" i="90"/>
  <c r="R21" i="90"/>
  <c r="R42" i="90"/>
  <c r="R30" i="90"/>
  <c r="H89" i="89"/>
  <c r="T51" i="85"/>
  <c r="Z16" i="85"/>
  <c r="H64" i="88"/>
  <c r="D86" i="84"/>
  <c r="L20" i="84"/>
  <c r="N20" i="84" s="1"/>
  <c r="P51" i="85"/>
  <c r="X16" i="85"/>
  <c r="X16" i="82"/>
  <c r="P26" i="82"/>
  <c r="X16" i="80"/>
  <c r="V94" i="75"/>
  <c r="N23" i="77"/>
  <c r="H90" i="77"/>
  <c r="H96" i="83"/>
  <c r="X16" i="78"/>
  <c r="P26" i="78"/>
  <c r="F70" i="68"/>
  <c r="F65" i="68"/>
  <c r="F61" i="68"/>
  <c r="F52" i="68"/>
  <c r="F49" i="68"/>
  <c r="F41" i="68"/>
  <c r="F29" i="68"/>
  <c r="F68" i="68"/>
  <c r="F64" i="68"/>
  <c r="F55" i="68"/>
  <c r="F40" i="68"/>
  <c r="F35" i="68"/>
  <c r="F28" i="68"/>
  <c r="D22" i="68"/>
  <c r="F20" i="68"/>
  <c r="F63" i="68"/>
  <c r="F51" i="68"/>
  <c r="F46" i="68"/>
  <c r="F39" i="68"/>
  <c r="F27" i="68"/>
  <c r="F71" i="68"/>
  <c r="F57" i="68"/>
  <c r="F54" i="68"/>
  <c r="F38" i="68"/>
  <c r="F34" i="68"/>
  <c r="F26" i="68"/>
  <c r="F60" i="68"/>
  <c r="F53" i="68"/>
  <c r="F48" i="68"/>
  <c r="F45" i="68"/>
  <c r="F37" i="68"/>
  <c r="F33" i="68"/>
  <c r="F24" i="68"/>
  <c r="F67" i="68"/>
  <c r="F56" i="68"/>
  <c r="F44" i="68"/>
  <c r="F36" i="68"/>
  <c r="F32" i="68"/>
  <c r="F19" i="68"/>
  <c r="F75" i="68"/>
  <c r="F62" i="68"/>
  <c r="F59" i="68"/>
  <c r="F50" i="68"/>
  <c r="F47" i="68"/>
  <c r="F43" i="68"/>
  <c r="F31" i="68"/>
  <c r="F25" i="68"/>
  <c r="F58" i="68"/>
  <c r="F66" i="68"/>
  <c r="F42" i="68"/>
  <c r="L12" i="68"/>
  <c r="N12" i="68" s="1"/>
  <c r="F30" i="68"/>
  <c r="H78" i="69"/>
  <c r="N30" i="69"/>
  <c r="D29" i="73"/>
  <c r="L25" i="73"/>
  <c r="N25" i="73" s="1"/>
  <c r="F25" i="73"/>
  <c r="P61" i="61"/>
  <c r="X57" i="61"/>
  <c r="P78" i="58"/>
  <c r="X74" i="58"/>
  <c r="T31" i="55"/>
  <c r="Z16" i="55"/>
  <c r="H27" i="52"/>
  <c r="L27" i="52" s="1"/>
  <c r="N18" i="52"/>
  <c r="D22" i="54"/>
  <c r="L16" i="54"/>
  <c r="D31" i="53"/>
  <c r="L18" i="52"/>
  <c r="P26" i="54"/>
  <c r="X22" i="54"/>
  <c r="Z27" i="47"/>
  <c r="T31" i="47"/>
  <c r="P27" i="40"/>
  <c r="X18" i="40"/>
  <c r="P31" i="44"/>
  <c r="V39" i="30"/>
  <c r="T118" i="30"/>
  <c r="Z39" i="30"/>
  <c r="F95" i="45"/>
  <c r="F90" i="45"/>
  <c r="F82" i="45"/>
  <c r="F77" i="45"/>
  <c r="F46" i="45"/>
  <c r="F38" i="45"/>
  <c r="F34" i="45"/>
  <c r="F25" i="45"/>
  <c r="F81" i="45"/>
  <c r="F72" i="45"/>
  <c r="F68" i="45"/>
  <c r="F65" i="45"/>
  <c r="F60" i="45"/>
  <c r="F57" i="45"/>
  <c r="F52" i="45"/>
  <c r="F49" i="45"/>
  <c r="F45" i="45"/>
  <c r="F33" i="45"/>
  <c r="F93" i="45"/>
  <c r="F80" i="45"/>
  <c r="F76" i="45"/>
  <c r="F44" i="45"/>
  <c r="F32" i="45"/>
  <c r="F92" i="45"/>
  <c r="F86" i="45"/>
  <c r="F79" i="45"/>
  <c r="F75" i="45"/>
  <c r="F71" i="45"/>
  <c r="F67" i="45"/>
  <c r="F62" i="45"/>
  <c r="F59" i="45"/>
  <c r="F54" i="45"/>
  <c r="F51" i="45"/>
  <c r="F43" i="45"/>
  <c r="F31" i="45"/>
  <c r="F26" i="45"/>
  <c r="F18" i="45"/>
  <c r="F89" i="45"/>
  <c r="F78" i="45"/>
  <c r="F74" i="45"/>
  <c r="F70" i="45"/>
  <c r="F42" i="45"/>
  <c r="F37" i="45"/>
  <c r="F30" i="45"/>
  <c r="F85" i="45"/>
  <c r="F73" i="45"/>
  <c r="F69" i="45"/>
  <c r="F64" i="45"/>
  <c r="F61" i="45"/>
  <c r="F56" i="45"/>
  <c r="F53" i="45"/>
  <c r="F48" i="45"/>
  <c r="F41" i="45"/>
  <c r="F29" i="45"/>
  <c r="D23" i="45"/>
  <c r="F21" i="45"/>
  <c r="F91" i="45"/>
  <c r="F88" i="45"/>
  <c r="F84" i="45"/>
  <c r="F40" i="45"/>
  <c r="F36" i="45"/>
  <c r="F28" i="45"/>
  <c r="F20" i="45"/>
  <c r="L12" i="45"/>
  <c r="N12" i="45" s="1"/>
  <c r="F58" i="45"/>
  <c r="F55" i="45"/>
  <c r="F19" i="45"/>
  <c r="F63" i="45"/>
  <c r="F50" i="45"/>
  <c r="F39" i="45"/>
  <c r="F66" i="45"/>
  <c r="F47" i="45"/>
  <c r="F27" i="45"/>
  <c r="F87" i="45"/>
  <c r="F35" i="45"/>
  <c r="F83" i="45"/>
  <c r="F99" i="45"/>
  <c r="F67" i="33"/>
  <c r="F56" i="33"/>
  <c r="F44" i="33"/>
  <c r="F36" i="33"/>
  <c r="F32" i="33"/>
  <c r="F19" i="33"/>
  <c r="F75" i="33"/>
  <c r="F62" i="33"/>
  <c r="F59" i="33"/>
  <c r="F50" i="33"/>
  <c r="F47" i="33"/>
  <c r="F43" i="33"/>
  <c r="F31" i="33"/>
  <c r="F66" i="33"/>
  <c r="F58" i="33"/>
  <c r="F42" i="33"/>
  <c r="F30" i="33"/>
  <c r="F25" i="33"/>
  <c r="L12" i="33"/>
  <c r="N12" i="33" s="1"/>
  <c r="F70" i="33"/>
  <c r="F65" i="33"/>
  <c r="F61" i="33"/>
  <c r="F52" i="33"/>
  <c r="F49" i="33"/>
  <c r="F41" i="33"/>
  <c r="F29" i="33"/>
  <c r="F68" i="33"/>
  <c r="F64" i="33"/>
  <c r="F55" i="33"/>
  <c r="F40" i="33"/>
  <c r="F35" i="33"/>
  <c r="F28" i="33"/>
  <c r="D22" i="33"/>
  <c r="F20" i="33"/>
  <c r="F63" i="33"/>
  <c r="F51" i="33"/>
  <c r="F46" i="33"/>
  <c r="F39" i="33"/>
  <c r="F27" i="33"/>
  <c r="F71" i="33"/>
  <c r="F57" i="33"/>
  <c r="F54" i="33"/>
  <c r="F38" i="33"/>
  <c r="F34" i="33"/>
  <c r="F26" i="33"/>
  <c r="F60" i="33"/>
  <c r="F48" i="33"/>
  <c r="F45" i="33"/>
  <c r="F33" i="33"/>
  <c r="F24" i="33"/>
  <c r="F53" i="33"/>
  <c r="F37" i="33"/>
  <c r="X18" i="32"/>
  <c r="P27" i="32"/>
  <c r="T27" i="25"/>
  <c r="Z18" i="25"/>
  <c r="T27" i="23"/>
  <c r="Z18" i="23"/>
  <c r="T107" i="42"/>
  <c r="L18" i="28"/>
  <c r="D27" i="28"/>
  <c r="T73" i="33"/>
  <c r="H150" i="15"/>
  <c r="T27" i="28"/>
  <c r="Z18" i="28"/>
  <c r="Z16" i="6"/>
  <c r="T22" i="6"/>
  <c r="P31" i="8"/>
  <c r="L18" i="5"/>
  <c r="D27" i="5"/>
  <c r="F151" i="18"/>
  <c r="F149" i="18"/>
  <c r="F144" i="18"/>
  <c r="F132" i="18"/>
  <c r="F128" i="18"/>
  <c r="F124" i="18"/>
  <c r="F120" i="18"/>
  <c r="F116" i="18"/>
  <c r="F100" i="18"/>
  <c r="F88" i="18"/>
  <c r="F72" i="18"/>
  <c r="F68" i="18"/>
  <c r="F60" i="18"/>
  <c r="F52" i="18"/>
  <c r="F156" i="18"/>
  <c r="F147" i="18"/>
  <c r="F143" i="18"/>
  <c r="F131" i="18"/>
  <c r="F127" i="18"/>
  <c r="F123" i="18"/>
  <c r="F119" i="18"/>
  <c r="F115" i="18"/>
  <c r="F111" i="18"/>
  <c r="F106" i="18"/>
  <c r="F103" i="18"/>
  <c r="F99" i="18"/>
  <c r="F94" i="18"/>
  <c r="F91" i="18"/>
  <c r="F153" i="18"/>
  <c r="F137" i="18"/>
  <c r="F130" i="18"/>
  <c r="F118" i="18"/>
  <c r="F114" i="18"/>
  <c r="F102" i="18"/>
  <c r="F90" i="18"/>
  <c r="F150" i="18"/>
  <c r="F140" i="18"/>
  <c r="F113" i="18"/>
  <c r="F108" i="18"/>
  <c r="F105" i="18"/>
  <c r="F96" i="18"/>
  <c r="F93" i="18"/>
  <c r="F160" i="18"/>
  <c r="F155" i="18"/>
  <c r="F136" i="18"/>
  <c r="F76" i="18"/>
  <c r="F152" i="18"/>
  <c r="F146" i="18"/>
  <c r="F142" i="18"/>
  <c r="F139" i="18"/>
  <c r="F135" i="18"/>
  <c r="F126" i="18"/>
  <c r="F122" i="18"/>
  <c r="F110" i="18"/>
  <c r="F107" i="18"/>
  <c r="F98" i="18"/>
  <c r="F95" i="18"/>
  <c r="F86" i="18"/>
  <c r="F83" i="18"/>
  <c r="F75" i="18"/>
  <c r="F63" i="18"/>
  <c r="F58" i="18"/>
  <c r="F138" i="18"/>
  <c r="F134" i="18"/>
  <c r="F129" i="18"/>
  <c r="F117" i="18"/>
  <c r="F101" i="18"/>
  <c r="F89" i="18"/>
  <c r="F74" i="18"/>
  <c r="F69" i="18"/>
  <c r="F62" i="18"/>
  <c r="F145" i="18"/>
  <c r="F77" i="18"/>
  <c r="F71" i="18"/>
  <c r="F61" i="18"/>
  <c r="F44" i="18"/>
  <c r="F36" i="18"/>
  <c r="F28" i="18"/>
  <c r="F121" i="18"/>
  <c r="F87" i="18"/>
  <c r="F85" i="18"/>
  <c r="F78" i="18"/>
  <c r="F57" i="18"/>
  <c r="F43" i="18"/>
  <c r="F35" i="18"/>
  <c r="F27" i="18"/>
  <c r="F125" i="18"/>
  <c r="F109" i="18"/>
  <c r="F104" i="18"/>
  <c r="F82" i="18"/>
  <c r="F81" i="18"/>
  <c r="F79" i="18"/>
  <c r="F73" i="18"/>
  <c r="F53" i="18"/>
  <c r="F51" i="18"/>
  <c r="F50" i="18"/>
  <c r="F42" i="18"/>
  <c r="F34" i="18"/>
  <c r="F26" i="18"/>
  <c r="F84" i="18"/>
  <c r="F80" i="18"/>
  <c r="D55" i="18"/>
  <c r="F49" i="18"/>
  <c r="F41" i="18"/>
  <c r="F33" i="18"/>
  <c r="F25" i="18"/>
  <c r="F20" i="18"/>
  <c r="F154" i="18"/>
  <c r="F66" i="18"/>
  <c r="F65" i="18"/>
  <c r="F64" i="18"/>
  <c r="F48" i="18"/>
  <c r="F40" i="18"/>
  <c r="F32" i="18"/>
  <c r="F24" i="18"/>
  <c r="L12" i="18"/>
  <c r="N12" i="18" s="1"/>
  <c r="F67" i="18"/>
  <c r="F59" i="18"/>
  <c r="F47" i="18"/>
  <c r="F39" i="18"/>
  <c r="F31" i="18"/>
  <c r="F23" i="18"/>
  <c r="F92" i="18"/>
  <c r="F46" i="18"/>
  <c r="F38" i="18"/>
  <c r="F30" i="18"/>
  <c r="F22" i="18"/>
  <c r="F133" i="18"/>
  <c r="F141" i="18"/>
  <c r="F97" i="18"/>
  <c r="F45" i="18"/>
  <c r="F21" i="18"/>
  <c r="F112" i="18"/>
  <c r="F70" i="18"/>
  <c r="F29" i="18"/>
  <c r="F37" i="18"/>
  <c r="P95" i="9"/>
  <c r="X16" i="9"/>
  <c r="P31" i="7"/>
  <c r="T27" i="4"/>
  <c r="Z18" i="4"/>
  <c r="T27" i="10"/>
  <c r="X27" i="10" s="1"/>
  <c r="Z18" i="10"/>
  <c r="L18" i="7"/>
  <c r="D27" i="7"/>
  <c r="F164" i="3"/>
  <c r="X16" i="6"/>
  <c r="L18" i="4"/>
  <c r="D27" i="4"/>
  <c r="T27" i="13"/>
  <c r="Z18" i="13"/>
  <c r="L18" i="10"/>
  <c r="D27" i="10"/>
  <c r="H174" i="3"/>
  <c r="P26" i="6"/>
  <c r="X22" i="6"/>
  <c r="R61" i="3"/>
  <c r="D31" i="6"/>
  <c r="L26" i="6"/>
  <c r="H36" i="11"/>
  <c r="N36" i="11" s="1"/>
  <c r="N31" i="11"/>
  <c r="T71" i="93"/>
  <c r="Z17" i="93"/>
  <c r="T57" i="88"/>
  <c r="Z16" i="88"/>
  <c r="H27" i="46"/>
  <c r="N18" i="46"/>
  <c r="D31" i="95"/>
  <c r="X16" i="92"/>
  <c r="P24" i="92"/>
  <c r="J17" i="93"/>
  <c r="F17" i="93"/>
  <c r="J23" i="91"/>
  <c r="X18" i="96"/>
  <c r="H55" i="85"/>
  <c r="H31" i="87"/>
  <c r="N27" i="87"/>
  <c r="T28" i="81"/>
  <c r="Z16" i="81"/>
  <c r="N16" i="78"/>
  <c r="H26" i="78"/>
  <c r="L16" i="78"/>
  <c r="H70" i="71"/>
  <c r="J19" i="71"/>
  <c r="J22" i="75"/>
  <c r="X19" i="71"/>
  <c r="Z19" i="71" s="1"/>
  <c r="P70" i="71"/>
  <c r="R71" i="69"/>
  <c r="R47" i="69"/>
  <c r="R74" i="69"/>
  <c r="R67" i="69"/>
  <c r="R62" i="69"/>
  <c r="R59" i="69"/>
  <c r="R54" i="69"/>
  <c r="R46" i="69"/>
  <c r="R42" i="69"/>
  <c r="R70" i="69"/>
  <c r="R53" i="69"/>
  <c r="R45" i="69"/>
  <c r="R41" i="69"/>
  <c r="R25" i="69"/>
  <c r="R76" i="69"/>
  <c r="R64" i="69"/>
  <c r="R61" i="69"/>
  <c r="R56" i="69"/>
  <c r="R52" i="69"/>
  <c r="R51" i="69"/>
  <c r="R44" i="69"/>
  <c r="R39" i="69"/>
  <c r="R73" i="69"/>
  <c r="R66" i="69"/>
  <c r="R63" i="69"/>
  <c r="R75" i="69"/>
  <c r="R69" i="69"/>
  <c r="R49" i="69"/>
  <c r="R37" i="69"/>
  <c r="R21" i="69"/>
  <c r="R80" i="69"/>
  <c r="R65" i="69"/>
  <c r="R57" i="69"/>
  <c r="R48" i="69"/>
  <c r="R40" i="69"/>
  <c r="R18" i="69"/>
  <c r="R68" i="69"/>
  <c r="R58" i="69"/>
  <c r="R34" i="69"/>
  <c r="R33" i="69"/>
  <c r="R60" i="69"/>
  <c r="R36" i="69"/>
  <c r="R35" i="69"/>
  <c r="R32" i="69"/>
  <c r="R55" i="69"/>
  <c r="R50" i="69"/>
  <c r="R28" i="69"/>
  <c r="R27" i="69"/>
  <c r="R24" i="69"/>
  <c r="R23" i="69"/>
  <c r="R20" i="69"/>
  <c r="X12" i="69"/>
  <c r="Z12" i="69" s="1"/>
  <c r="R43" i="69"/>
  <c r="R38" i="69"/>
  <c r="P30" i="69"/>
  <c r="R22" i="69"/>
  <c r="R19" i="69"/>
  <c r="R26" i="69"/>
  <c r="T106" i="67"/>
  <c r="F30" i="69"/>
  <c r="H106" i="67"/>
  <c r="N39" i="67"/>
  <c r="L16" i="62"/>
  <c r="D96" i="62"/>
  <c r="N16" i="60"/>
  <c r="H58" i="60"/>
  <c r="H96" i="62"/>
  <c r="N16" i="62"/>
  <c r="T62" i="60"/>
  <c r="D68" i="56"/>
  <c r="L16" i="56"/>
  <c r="H22" i="54"/>
  <c r="N16" i="54"/>
  <c r="H27" i="53"/>
  <c r="N18" i="53"/>
  <c r="P27" i="47"/>
  <c r="X18" i="47"/>
  <c r="T27" i="50"/>
  <c r="Z18" i="50"/>
  <c r="T31" i="52"/>
  <c r="Z27" i="52"/>
  <c r="D108" i="39"/>
  <c r="L25" i="39"/>
  <c r="N25" i="39" s="1"/>
  <c r="F25" i="39"/>
  <c r="F68" i="48"/>
  <c r="L18" i="46"/>
  <c r="D27" i="46"/>
  <c r="R78" i="45"/>
  <c r="R74" i="45"/>
  <c r="R70" i="45"/>
  <c r="R42" i="45"/>
  <c r="R30" i="45"/>
  <c r="R91" i="45"/>
  <c r="R85" i="45"/>
  <c r="R73" i="45"/>
  <c r="R69" i="45"/>
  <c r="R66" i="45"/>
  <c r="R61" i="45"/>
  <c r="R58" i="45"/>
  <c r="R53" i="45"/>
  <c r="R50" i="45"/>
  <c r="R41" i="45"/>
  <c r="R29" i="45"/>
  <c r="R21" i="45"/>
  <c r="R88" i="45"/>
  <c r="R84" i="45"/>
  <c r="R77" i="45"/>
  <c r="R40" i="45"/>
  <c r="R36" i="45"/>
  <c r="R28" i="45"/>
  <c r="R25" i="45"/>
  <c r="R20" i="45"/>
  <c r="X12" i="45"/>
  <c r="Z12" i="45" s="1"/>
  <c r="R87" i="45"/>
  <c r="R83" i="45"/>
  <c r="R72" i="45"/>
  <c r="R68" i="45"/>
  <c r="R63" i="45"/>
  <c r="R60" i="45"/>
  <c r="R55" i="45"/>
  <c r="R52" i="45"/>
  <c r="R47" i="45"/>
  <c r="R39" i="45"/>
  <c r="R35" i="45"/>
  <c r="R27" i="45"/>
  <c r="R19" i="45"/>
  <c r="R99" i="45"/>
  <c r="R95" i="45"/>
  <c r="R90" i="45"/>
  <c r="R82" i="45"/>
  <c r="R46" i="45"/>
  <c r="R38" i="45"/>
  <c r="R34" i="45"/>
  <c r="R86" i="45"/>
  <c r="R81" i="45"/>
  <c r="R65" i="45"/>
  <c r="R62" i="45"/>
  <c r="R57" i="45"/>
  <c r="R54" i="45"/>
  <c r="R49" i="45"/>
  <c r="R45" i="45"/>
  <c r="R33" i="45"/>
  <c r="R26" i="45"/>
  <c r="R18" i="45"/>
  <c r="R93" i="45"/>
  <c r="R89" i="45"/>
  <c r="R80" i="45"/>
  <c r="R76" i="45"/>
  <c r="R44" i="45"/>
  <c r="R37" i="45"/>
  <c r="R32" i="45"/>
  <c r="R23" i="45"/>
  <c r="R92" i="45"/>
  <c r="R56" i="45"/>
  <c r="R51" i="45"/>
  <c r="P23" i="45"/>
  <c r="R48" i="45"/>
  <c r="R75" i="45"/>
  <c r="R67" i="45"/>
  <c r="R64" i="45"/>
  <c r="R43" i="45"/>
  <c r="R71" i="45"/>
  <c r="R31" i="45"/>
  <c r="R59" i="45"/>
  <c r="R79" i="45"/>
  <c r="H36" i="50"/>
  <c r="N36" i="50" s="1"/>
  <c r="N31" i="50"/>
  <c r="X27" i="38"/>
  <c r="P31" i="38"/>
  <c r="Z27" i="43"/>
  <c r="T31" i="43"/>
  <c r="T27" i="35"/>
  <c r="Z18" i="35"/>
  <c r="L18" i="44"/>
  <c r="D27" i="44"/>
  <c r="F103" i="36"/>
  <c r="F100" i="36"/>
  <c r="F96" i="36"/>
  <c r="F88" i="36"/>
  <c r="F80" i="36"/>
  <c r="F76" i="36"/>
  <c r="F71" i="36"/>
  <c r="F68" i="36"/>
  <c r="F63" i="36"/>
  <c r="F102" i="36"/>
  <c r="F94" i="36"/>
  <c r="F85" i="36"/>
  <c r="F105" i="36"/>
  <c r="F93" i="36"/>
  <c r="F116" i="36"/>
  <c r="F111" i="36"/>
  <c r="F109" i="36"/>
  <c r="F104" i="36"/>
  <c r="F107" i="36"/>
  <c r="F98" i="36"/>
  <c r="F91" i="36"/>
  <c r="F83" i="36"/>
  <c r="F101" i="36"/>
  <c r="F60" i="36"/>
  <c r="F48" i="36"/>
  <c r="F40" i="36"/>
  <c r="F36" i="36"/>
  <c r="F27" i="36"/>
  <c r="F110" i="36"/>
  <c r="F90" i="36"/>
  <c r="F54" i="36"/>
  <c r="F51" i="36"/>
  <c r="F47" i="36"/>
  <c r="F35" i="36"/>
  <c r="F95" i="36"/>
  <c r="F82" i="36"/>
  <c r="F81" i="36"/>
  <c r="F75" i="36"/>
  <c r="F67" i="36"/>
  <c r="F46" i="36"/>
  <c r="F34" i="36"/>
  <c r="F84" i="36"/>
  <c r="F70" i="36"/>
  <c r="F62" i="36"/>
  <c r="F56" i="36"/>
  <c r="F53" i="36"/>
  <c r="F45" i="36"/>
  <c r="F33" i="36"/>
  <c r="F28" i="36"/>
  <c r="F20" i="36"/>
  <c r="F97" i="36"/>
  <c r="F92" i="36"/>
  <c r="F86" i="36"/>
  <c r="F74" i="36"/>
  <c r="F66" i="36"/>
  <c r="F59" i="36"/>
  <c r="F44" i="36"/>
  <c r="F39" i="36"/>
  <c r="F32" i="36"/>
  <c r="L12" i="36"/>
  <c r="N12" i="36" s="1"/>
  <c r="F87" i="36"/>
  <c r="F79" i="36"/>
  <c r="F55" i="36"/>
  <c r="F50" i="36"/>
  <c r="F43" i="36"/>
  <c r="F31" i="36"/>
  <c r="D25" i="36"/>
  <c r="F23" i="36"/>
  <c r="F106" i="36"/>
  <c r="F99" i="36"/>
  <c r="F73" i="36"/>
  <c r="F69" i="36"/>
  <c r="F65" i="36"/>
  <c r="F61" i="36"/>
  <c r="F58" i="36"/>
  <c r="F42" i="36"/>
  <c r="F38" i="36"/>
  <c r="F30" i="36"/>
  <c r="F22" i="36"/>
  <c r="F89" i="36"/>
  <c r="F78" i="36"/>
  <c r="F112" i="36"/>
  <c r="F52" i="36"/>
  <c r="F49" i="36"/>
  <c r="F29" i="36"/>
  <c r="F72" i="36"/>
  <c r="F37" i="36"/>
  <c r="F64" i="36"/>
  <c r="F57" i="36"/>
  <c r="F77" i="36"/>
  <c r="F21" i="36"/>
  <c r="F41" i="36"/>
  <c r="F39" i="30"/>
  <c r="T36" i="29"/>
  <c r="Z36" i="29" s="1"/>
  <c r="Z31" i="29"/>
  <c r="H86" i="27"/>
  <c r="N30" i="27"/>
  <c r="V22" i="33"/>
  <c r="D31" i="20"/>
  <c r="H27" i="25"/>
  <c r="N18" i="25"/>
  <c r="T90" i="27"/>
  <c r="X18" i="16"/>
  <c r="L16" i="9"/>
  <c r="D95" i="9"/>
  <c r="L18" i="13"/>
  <c r="D27" i="13"/>
  <c r="P31" i="10"/>
  <c r="L49" i="15"/>
  <c r="N49" i="15" s="1"/>
  <c r="D150" i="15"/>
  <c r="L61" i="3"/>
  <c r="N61" i="3" s="1"/>
  <c r="D174" i="3"/>
  <c r="X18" i="4"/>
  <c r="R150" i="12"/>
  <c r="T99" i="9"/>
  <c r="P31" i="20" l="1"/>
  <c r="H31" i="40"/>
  <c r="H36" i="40" s="1"/>
  <c r="N36" i="40" s="1"/>
  <c r="N31" i="31"/>
  <c r="H31" i="20"/>
  <c r="L31" i="20" s="1"/>
  <c r="N27" i="20"/>
  <c r="H31" i="4"/>
  <c r="N27" i="4"/>
  <c r="N27" i="17"/>
  <c r="H31" i="17"/>
  <c r="L27" i="31"/>
  <c r="D31" i="31"/>
  <c r="N27" i="29"/>
  <c r="H31" i="29"/>
  <c r="T93" i="27"/>
  <c r="V90" i="27"/>
  <c r="P31" i="40"/>
  <c r="X27" i="40"/>
  <c r="H31" i="47"/>
  <c r="N27" i="47"/>
  <c r="Z27" i="32"/>
  <c r="T31" i="32"/>
  <c r="T161" i="12"/>
  <c r="V157" i="12"/>
  <c r="D32" i="81"/>
  <c r="L28" i="81"/>
  <c r="N28" i="81" s="1"/>
  <c r="D35" i="55"/>
  <c r="L31" i="55"/>
  <c r="D89" i="89"/>
  <c r="L23" i="89"/>
  <c r="N23" i="89" s="1"/>
  <c r="P31" i="47"/>
  <c r="X27" i="47"/>
  <c r="T65" i="60"/>
  <c r="H110" i="67"/>
  <c r="J106" i="67"/>
  <c r="T32" i="81"/>
  <c r="T61" i="88"/>
  <c r="D31" i="4"/>
  <c r="L27" i="4"/>
  <c r="D158" i="18"/>
  <c r="L55" i="18"/>
  <c r="N55" i="18" s="1"/>
  <c r="D97" i="45"/>
  <c r="L23" i="45"/>
  <c r="N23" i="45" s="1"/>
  <c r="Z31" i="47"/>
  <c r="T36" i="47"/>
  <c r="Z36" i="47" s="1"/>
  <c r="D26" i="54"/>
  <c r="L22" i="54"/>
  <c r="P64" i="61"/>
  <c r="P89" i="90"/>
  <c r="X23" i="90"/>
  <c r="Z23" i="90" s="1"/>
  <c r="T31" i="5"/>
  <c r="Z27" i="5"/>
  <c r="H31" i="38"/>
  <c r="N27" i="38"/>
  <c r="X27" i="50"/>
  <c r="P31" i="50"/>
  <c r="T82" i="69"/>
  <c r="V78" i="69"/>
  <c r="X57" i="88"/>
  <c r="Z57" i="88" s="1"/>
  <c r="Z27" i="94"/>
  <c r="T31" i="94"/>
  <c r="T96" i="91"/>
  <c r="V92" i="91"/>
  <c r="H94" i="21"/>
  <c r="J90" i="21"/>
  <c r="H35" i="64"/>
  <c r="D82" i="69"/>
  <c r="L78" i="69"/>
  <c r="F78" i="69"/>
  <c r="H37" i="76"/>
  <c r="J34" i="76"/>
  <c r="T31" i="17"/>
  <c r="Z27" i="17"/>
  <c r="N27" i="37"/>
  <c r="H31" i="37"/>
  <c r="D36" i="38"/>
  <c r="L27" i="37"/>
  <c r="D31" i="37"/>
  <c r="X25" i="73"/>
  <c r="P29" i="73"/>
  <c r="R25" i="73"/>
  <c r="X23" i="89"/>
  <c r="Z23" i="89" s="1"/>
  <c r="P89" i="89"/>
  <c r="R23" i="89"/>
  <c r="D92" i="91"/>
  <c r="L23" i="91"/>
  <c r="N23" i="91" s="1"/>
  <c r="D31" i="92"/>
  <c r="P178" i="3"/>
  <c r="X174" i="3"/>
  <c r="R174" i="3"/>
  <c r="D90" i="27"/>
  <c r="L86" i="27"/>
  <c r="F86" i="27"/>
  <c r="H162" i="18"/>
  <c r="J158" i="18"/>
  <c r="Z27" i="44"/>
  <c r="T31" i="44"/>
  <c r="X31" i="44" s="1"/>
  <c r="Z27" i="46"/>
  <c r="T31" i="46"/>
  <c r="X31" i="46" s="1"/>
  <c r="P72" i="56"/>
  <c r="X68" i="56"/>
  <c r="Z68" i="56" s="1"/>
  <c r="P91" i="75"/>
  <c r="X87" i="75"/>
  <c r="Z87" i="75" s="1"/>
  <c r="R87" i="75"/>
  <c r="X28" i="81"/>
  <c r="Z28" i="81" s="1"/>
  <c r="D30" i="86"/>
  <c r="L26" i="86"/>
  <c r="T31" i="16"/>
  <c r="X31" i="16" s="1"/>
  <c r="Z27" i="16"/>
  <c r="X27" i="41"/>
  <c r="P31" i="41"/>
  <c r="L23" i="42"/>
  <c r="N23" i="42" s="1"/>
  <c r="D103" i="42"/>
  <c r="Z27" i="41"/>
  <c r="T31" i="41"/>
  <c r="N27" i="49"/>
  <c r="H31" i="49"/>
  <c r="Z27" i="13"/>
  <c r="T31" i="13"/>
  <c r="D34" i="76"/>
  <c r="L30" i="76"/>
  <c r="N30" i="76" s="1"/>
  <c r="F30" i="76"/>
  <c r="P36" i="38"/>
  <c r="X31" i="38"/>
  <c r="N27" i="25"/>
  <c r="H31" i="25"/>
  <c r="P28" i="92"/>
  <c r="X24" i="92"/>
  <c r="P31" i="6"/>
  <c r="X26" i="6"/>
  <c r="T31" i="4"/>
  <c r="X31" i="4" s="1"/>
  <c r="Z27" i="4"/>
  <c r="F55" i="18"/>
  <c r="Z27" i="28"/>
  <c r="T31" i="28"/>
  <c r="X31" i="28" s="1"/>
  <c r="T110" i="42"/>
  <c r="V107" i="42"/>
  <c r="H99" i="83"/>
  <c r="J96" i="83"/>
  <c r="P55" i="85"/>
  <c r="X51" i="85"/>
  <c r="H93" i="89"/>
  <c r="J89" i="89"/>
  <c r="P36" i="16"/>
  <c r="P161" i="12"/>
  <c r="X157" i="12"/>
  <c r="Z157" i="12" s="1"/>
  <c r="R157" i="12"/>
  <c r="H67" i="59"/>
  <c r="T74" i="71"/>
  <c r="V70" i="71"/>
  <c r="X61" i="88"/>
  <c r="P64" i="88"/>
  <c r="X27" i="95"/>
  <c r="P31" i="95"/>
  <c r="D31" i="17"/>
  <c r="L27" i="17"/>
  <c r="D82" i="24"/>
  <c r="L29" i="24"/>
  <c r="N29" i="24" s="1"/>
  <c r="N27" i="35"/>
  <c r="H31" i="35"/>
  <c r="D64" i="59"/>
  <c r="L60" i="59"/>
  <c r="N60" i="59" s="1"/>
  <c r="T87" i="74"/>
  <c r="V83" i="74"/>
  <c r="D75" i="93"/>
  <c r="L71" i="93"/>
  <c r="F71" i="93"/>
  <c r="P31" i="5"/>
  <c r="X27" i="5"/>
  <c r="D36" i="26"/>
  <c r="X27" i="13"/>
  <c r="P31" i="13"/>
  <c r="L27" i="38"/>
  <c r="P90" i="84"/>
  <c r="X86" i="84"/>
  <c r="P69" i="57"/>
  <c r="X65" i="57"/>
  <c r="Z65" i="57" s="1"/>
  <c r="H31" i="16"/>
  <c r="N27" i="16"/>
  <c r="H36" i="22"/>
  <c r="N36" i="22" s="1"/>
  <c r="N31" i="22"/>
  <c r="P36" i="34"/>
  <c r="D36" i="43"/>
  <c r="P35" i="81"/>
  <c r="X32" i="81"/>
  <c r="H31" i="26"/>
  <c r="L31" i="26" s="1"/>
  <c r="N27" i="26"/>
  <c r="T89" i="24"/>
  <c r="V86" i="24"/>
  <c r="H101" i="45"/>
  <c r="J97" i="45"/>
  <c r="P31" i="49"/>
  <c r="X27" i="49"/>
  <c r="P87" i="74"/>
  <c r="X83" i="74"/>
  <c r="Z83" i="74" s="1"/>
  <c r="R83" i="74"/>
  <c r="T31" i="96"/>
  <c r="X31" i="96" s="1"/>
  <c r="Z27" i="96"/>
  <c r="H34" i="80"/>
  <c r="P36" i="10"/>
  <c r="Z25" i="73"/>
  <c r="V25" i="73"/>
  <c r="T29" i="73"/>
  <c r="H96" i="90"/>
  <c r="J93" i="90"/>
  <c r="P36" i="28"/>
  <c r="D36" i="20"/>
  <c r="D31" i="44"/>
  <c r="L27" i="44"/>
  <c r="D112" i="39"/>
  <c r="L108" i="39"/>
  <c r="N108" i="39" s="1"/>
  <c r="F108" i="39"/>
  <c r="N27" i="53"/>
  <c r="H31" i="53"/>
  <c r="L31" i="53" s="1"/>
  <c r="H100" i="62"/>
  <c r="H34" i="87"/>
  <c r="T75" i="93"/>
  <c r="V71" i="93"/>
  <c r="P36" i="7"/>
  <c r="D31" i="5"/>
  <c r="L27" i="5"/>
  <c r="N150" i="15"/>
  <c r="H154" i="15"/>
  <c r="J150" i="15"/>
  <c r="T122" i="30"/>
  <c r="V118" i="30"/>
  <c r="H31" i="52"/>
  <c r="L31" i="52" s="1"/>
  <c r="N27" i="52"/>
  <c r="H94" i="77"/>
  <c r="J90" i="77"/>
  <c r="H31" i="43"/>
  <c r="N27" i="43"/>
  <c r="D86" i="65"/>
  <c r="L30" i="65"/>
  <c r="N30" i="65" s="1"/>
  <c r="T96" i="83"/>
  <c r="V92" i="83"/>
  <c r="T31" i="34"/>
  <c r="Z27" i="34"/>
  <c r="X27" i="37"/>
  <c r="P31" i="37"/>
  <c r="P103" i="42"/>
  <c r="X23" i="42"/>
  <c r="Z23" i="42" s="1"/>
  <c r="D78" i="51"/>
  <c r="L30" i="51"/>
  <c r="N30" i="51" s="1"/>
  <c r="T26" i="54"/>
  <c r="Z22" i="54"/>
  <c r="T77" i="68"/>
  <c r="V73" i="68"/>
  <c r="D55" i="85"/>
  <c r="L51" i="85"/>
  <c r="N51" i="85" s="1"/>
  <c r="P64" i="59"/>
  <c r="X60" i="59"/>
  <c r="P36" i="14"/>
  <c r="F29" i="24"/>
  <c r="X100" i="62"/>
  <c r="Z100" i="62" s="1"/>
  <c r="P103" i="62"/>
  <c r="X103" i="62" s="1"/>
  <c r="Z103" i="62" s="1"/>
  <c r="D77" i="79"/>
  <c r="L73" i="79"/>
  <c r="P31" i="35"/>
  <c r="X27" i="35"/>
  <c r="H32" i="73"/>
  <c r="J29" i="73"/>
  <c r="D61" i="61"/>
  <c r="L57" i="61"/>
  <c r="N57" i="61" s="1"/>
  <c r="P30" i="76"/>
  <c r="X22" i="76"/>
  <c r="Z22" i="76" s="1"/>
  <c r="D31" i="96"/>
  <c r="L27" i="96"/>
  <c r="P90" i="65"/>
  <c r="X86" i="65"/>
  <c r="Z86" i="65" s="1"/>
  <c r="R86" i="65"/>
  <c r="D31" i="8"/>
  <c r="L27" i="8"/>
  <c r="X27" i="34"/>
  <c r="L27" i="43"/>
  <c r="T101" i="45"/>
  <c r="V97" i="45"/>
  <c r="T82" i="51"/>
  <c r="Z78" i="51"/>
  <c r="V78" i="51"/>
  <c r="H86" i="63"/>
  <c r="J82" i="63"/>
  <c r="H90" i="65"/>
  <c r="J86" i="65"/>
  <c r="T31" i="92"/>
  <c r="Z31" i="92" s="1"/>
  <c r="Z28" i="92"/>
  <c r="H31" i="10"/>
  <c r="N27" i="10"/>
  <c r="T162" i="18"/>
  <c r="V158" i="18"/>
  <c r="D31" i="35"/>
  <c r="L27" i="35"/>
  <c r="P82" i="51"/>
  <c r="X78" i="51"/>
  <c r="R78" i="51"/>
  <c r="T31" i="87"/>
  <c r="Z27" i="87"/>
  <c r="F23" i="89"/>
  <c r="D36" i="40"/>
  <c r="H69" i="57"/>
  <c r="N65" i="57"/>
  <c r="L65" i="57"/>
  <c r="P36" i="43"/>
  <c r="X31" i="43"/>
  <c r="D31" i="49"/>
  <c r="L27" i="49"/>
  <c r="D31" i="14"/>
  <c r="L27" i="14"/>
  <c r="P36" i="52"/>
  <c r="X31" i="52"/>
  <c r="T36" i="38"/>
  <c r="Z36" i="38" s="1"/>
  <c r="Z31" i="38"/>
  <c r="H80" i="68"/>
  <c r="J77" i="68"/>
  <c r="T102" i="9"/>
  <c r="D114" i="36"/>
  <c r="L25" i="36"/>
  <c r="N25" i="36" s="1"/>
  <c r="F25" i="36"/>
  <c r="N58" i="60"/>
  <c r="H62" i="60"/>
  <c r="L58" i="60"/>
  <c r="P78" i="69"/>
  <c r="X30" i="69"/>
  <c r="Z30" i="69" s="1"/>
  <c r="H74" i="71"/>
  <c r="J70" i="71"/>
  <c r="N174" i="3"/>
  <c r="H178" i="3"/>
  <c r="J174" i="3"/>
  <c r="Z27" i="23"/>
  <c r="T31" i="23"/>
  <c r="L22" i="33"/>
  <c r="N22" i="33" s="1"/>
  <c r="D73" i="33"/>
  <c r="F23" i="45"/>
  <c r="P31" i="54"/>
  <c r="X26" i="54"/>
  <c r="L29" i="73"/>
  <c r="N29" i="73" s="1"/>
  <c r="D32" i="73"/>
  <c r="F29" i="73"/>
  <c r="D90" i="84"/>
  <c r="L86" i="84"/>
  <c r="N86" i="84" s="1"/>
  <c r="X71" i="93"/>
  <c r="Z71" i="93" s="1"/>
  <c r="T178" i="3"/>
  <c r="Z174" i="3"/>
  <c r="V174" i="3"/>
  <c r="J115" i="39"/>
  <c r="N27" i="41"/>
  <c r="H31" i="41"/>
  <c r="T75" i="48"/>
  <c r="Z71" i="48"/>
  <c r="V71" i="48"/>
  <c r="T78" i="58"/>
  <c r="Z74" i="58"/>
  <c r="P90" i="77"/>
  <c r="X23" i="77"/>
  <c r="Z23" i="77" s="1"/>
  <c r="T94" i="77"/>
  <c r="V90" i="77"/>
  <c r="X27" i="94"/>
  <c r="P31" i="94"/>
  <c r="H122" i="30"/>
  <c r="J118" i="30"/>
  <c r="D110" i="67"/>
  <c r="L106" i="67"/>
  <c r="N106" i="67" s="1"/>
  <c r="F106" i="67"/>
  <c r="T36" i="20"/>
  <c r="Z36" i="20" s="1"/>
  <c r="Z31" i="20"/>
  <c r="D36" i="29"/>
  <c r="H31" i="44"/>
  <c r="N27" i="44"/>
  <c r="D35" i="64"/>
  <c r="L31" i="64"/>
  <c r="N31" i="64" s="1"/>
  <c r="D31" i="16"/>
  <c r="L27" i="16"/>
  <c r="D122" i="30"/>
  <c r="L118" i="30"/>
  <c r="N118" i="30" s="1"/>
  <c r="F118" i="30"/>
  <c r="H77" i="33"/>
  <c r="J73" i="33"/>
  <c r="P78" i="48"/>
  <c r="X75" i="48"/>
  <c r="R75" i="48"/>
  <c r="T64" i="59"/>
  <c r="Z60" i="59"/>
  <c r="H31" i="14"/>
  <c r="N27" i="14"/>
  <c r="P82" i="24"/>
  <c r="X29" i="24"/>
  <c r="Z29" i="24" s="1"/>
  <c r="X27" i="25"/>
  <c r="P31" i="25"/>
  <c r="P31" i="31"/>
  <c r="X27" i="31"/>
  <c r="P73" i="68"/>
  <c r="X22" i="68"/>
  <c r="Z22" i="68" s="1"/>
  <c r="T35" i="64"/>
  <c r="Z31" i="64"/>
  <c r="H32" i="81"/>
  <c r="T30" i="82"/>
  <c r="Z26" i="82"/>
  <c r="P92" i="83"/>
  <c r="X23" i="83"/>
  <c r="Z23" i="83" s="1"/>
  <c r="X31" i="87"/>
  <c r="P34" i="87"/>
  <c r="P36" i="20"/>
  <c r="X31" i="20"/>
  <c r="N27" i="23"/>
  <c r="H31" i="23"/>
  <c r="P36" i="46"/>
  <c r="Z30" i="78"/>
  <c r="T33" i="78"/>
  <c r="Z33" i="78" s="1"/>
  <c r="N27" i="32"/>
  <c r="H31" i="32"/>
  <c r="T55" i="85"/>
  <c r="Z51" i="85"/>
  <c r="L27" i="94"/>
  <c r="D31" i="94"/>
  <c r="Z86" i="84"/>
  <c r="T90" i="84"/>
  <c r="V86" i="84"/>
  <c r="D30" i="82"/>
  <c r="L26" i="82"/>
  <c r="P114" i="36"/>
  <c r="X25" i="36"/>
  <c r="Z25" i="36" s="1"/>
  <c r="P30" i="86"/>
  <c r="X26" i="86"/>
  <c r="Z26" i="86" s="1"/>
  <c r="D178" i="3"/>
  <c r="L174" i="3"/>
  <c r="F174" i="3"/>
  <c r="T36" i="52"/>
  <c r="Z36" i="52" s="1"/>
  <c r="Z31" i="52"/>
  <c r="H26" i="54"/>
  <c r="N22" i="54"/>
  <c r="T110" i="67"/>
  <c r="V106" i="67"/>
  <c r="R30" i="69"/>
  <c r="H58" i="85"/>
  <c r="D36" i="95"/>
  <c r="D31" i="10"/>
  <c r="L27" i="10"/>
  <c r="L27" i="7"/>
  <c r="D31" i="7"/>
  <c r="P36" i="8"/>
  <c r="T77" i="33"/>
  <c r="V73" i="33"/>
  <c r="F22" i="33"/>
  <c r="P36" i="44"/>
  <c r="T35" i="55"/>
  <c r="X31" i="55"/>
  <c r="Z31" i="55" s="1"/>
  <c r="P78" i="93"/>
  <c r="X75" i="93"/>
  <c r="R75" i="93"/>
  <c r="T31" i="14"/>
  <c r="Z27" i="14"/>
  <c r="D34" i="87"/>
  <c r="L31" i="87"/>
  <c r="N31" i="87" s="1"/>
  <c r="Z27" i="7"/>
  <c r="T31" i="7"/>
  <c r="H107" i="42"/>
  <c r="J103" i="42"/>
  <c r="T36" i="53"/>
  <c r="Z36" i="53" s="1"/>
  <c r="Z31" i="53"/>
  <c r="H78" i="58"/>
  <c r="N74" i="58"/>
  <c r="T61" i="61"/>
  <c r="Z57" i="61"/>
  <c r="H91" i="75"/>
  <c r="J87" i="75"/>
  <c r="H96" i="91"/>
  <c r="J92" i="91"/>
  <c r="H161" i="12"/>
  <c r="J157" i="12"/>
  <c r="T36" i="31"/>
  <c r="Z36" i="31" s="1"/>
  <c r="Z31" i="31"/>
  <c r="L27" i="19"/>
  <c r="D31" i="19"/>
  <c r="H90" i="74"/>
  <c r="J87" i="74"/>
  <c r="H77" i="79"/>
  <c r="N73" i="79"/>
  <c r="H30" i="86"/>
  <c r="N26" i="86"/>
  <c r="D89" i="90"/>
  <c r="L23" i="90"/>
  <c r="N23" i="90" s="1"/>
  <c r="D31" i="47"/>
  <c r="L27" i="47"/>
  <c r="P37" i="80"/>
  <c r="Z27" i="11"/>
  <c r="T31" i="11"/>
  <c r="X31" i="11" s="1"/>
  <c r="N27" i="19"/>
  <c r="H31" i="19"/>
  <c r="P62" i="60"/>
  <c r="X58" i="60"/>
  <c r="Z58" i="60" s="1"/>
  <c r="P38" i="64"/>
  <c r="X35" i="64"/>
  <c r="D92" i="83"/>
  <c r="L23" i="83"/>
  <c r="N23" i="83" s="1"/>
  <c r="T77" i="79"/>
  <c r="Z73" i="79"/>
  <c r="D61" i="88"/>
  <c r="L57" i="88"/>
  <c r="N57" i="88" s="1"/>
  <c r="L27" i="25"/>
  <c r="D31" i="25"/>
  <c r="X39" i="67"/>
  <c r="Z39" i="67" s="1"/>
  <c r="P106" i="67"/>
  <c r="P36" i="4"/>
  <c r="X49" i="15"/>
  <c r="Z49" i="15" s="1"/>
  <c r="P150" i="15"/>
  <c r="R29" i="24"/>
  <c r="T94" i="21"/>
  <c r="V90" i="21"/>
  <c r="Z27" i="37"/>
  <c r="T31" i="37"/>
  <c r="R22" i="68"/>
  <c r="D161" i="12"/>
  <c r="L157" i="12"/>
  <c r="N157" i="12" s="1"/>
  <c r="F157" i="12"/>
  <c r="P31" i="29"/>
  <c r="X27" i="29"/>
  <c r="L27" i="32"/>
  <c r="D31" i="32"/>
  <c r="P108" i="39"/>
  <c r="X25" i="39"/>
  <c r="Z25" i="39" s="1"/>
  <c r="X27" i="46"/>
  <c r="P31" i="53"/>
  <c r="X27" i="53"/>
  <c r="T34" i="76"/>
  <c r="V30" i="76"/>
  <c r="N24" i="92"/>
  <c r="H28" i="92"/>
  <c r="Z27" i="40"/>
  <c r="T31" i="40"/>
  <c r="T34" i="80"/>
  <c r="X34" i="80" s="1"/>
  <c r="Z30" i="80"/>
  <c r="D31" i="13"/>
  <c r="L27" i="13"/>
  <c r="D99" i="9"/>
  <c r="L95" i="9"/>
  <c r="N95" i="9" s="1"/>
  <c r="T31" i="35"/>
  <c r="Z27" i="35"/>
  <c r="X23" i="45"/>
  <c r="Z23" i="45" s="1"/>
  <c r="P97" i="45"/>
  <c r="L27" i="46"/>
  <c r="D31" i="46"/>
  <c r="L96" i="62"/>
  <c r="N96" i="62" s="1"/>
  <c r="D100" i="62"/>
  <c r="N26" i="78"/>
  <c r="H30" i="78"/>
  <c r="L26" i="78"/>
  <c r="P99" i="9"/>
  <c r="X95" i="9"/>
  <c r="Z95" i="9" s="1"/>
  <c r="Z27" i="25"/>
  <c r="T31" i="25"/>
  <c r="D36" i="53"/>
  <c r="H82" i="69"/>
  <c r="N78" i="69"/>
  <c r="J78" i="69"/>
  <c r="D73" i="68"/>
  <c r="L22" i="68"/>
  <c r="N22" i="68" s="1"/>
  <c r="T36" i="22"/>
  <c r="Z36" i="22" s="1"/>
  <c r="Z31" i="22"/>
  <c r="L27" i="23"/>
  <c r="D31" i="23"/>
  <c r="P122" i="30"/>
  <c r="X118" i="30"/>
  <c r="Z118" i="30" s="1"/>
  <c r="R118" i="30"/>
  <c r="D94" i="77"/>
  <c r="L90" i="77"/>
  <c r="N90" i="77" s="1"/>
  <c r="F90" i="77"/>
  <c r="D28" i="72"/>
  <c r="L24" i="72"/>
  <c r="P80" i="79"/>
  <c r="X77" i="79"/>
  <c r="D31" i="11"/>
  <c r="L27" i="11"/>
  <c r="P31" i="17"/>
  <c r="X27" i="17"/>
  <c r="X27" i="23"/>
  <c r="P31" i="23"/>
  <c r="H75" i="48"/>
  <c r="J71" i="48"/>
  <c r="J93" i="84"/>
  <c r="F23" i="90"/>
  <c r="D82" i="63"/>
  <c r="L29" i="63"/>
  <c r="N29" i="63" s="1"/>
  <c r="Z27" i="19"/>
  <c r="T31" i="19"/>
  <c r="X27" i="19"/>
  <c r="Z27" i="49"/>
  <c r="T31" i="49"/>
  <c r="X27" i="4"/>
  <c r="H86" i="24"/>
  <c r="J82" i="24"/>
  <c r="L27" i="22"/>
  <c r="D31" i="22"/>
  <c r="L27" i="41"/>
  <c r="D31" i="41"/>
  <c r="H30" i="82"/>
  <c r="N26" i="82"/>
  <c r="D34" i="80"/>
  <c r="L30" i="80"/>
  <c r="N30" i="80" s="1"/>
  <c r="P158" i="18"/>
  <c r="X55" i="18"/>
  <c r="Z55" i="18" s="1"/>
  <c r="T154" i="15"/>
  <c r="V150" i="15"/>
  <c r="X22" i="33"/>
  <c r="Z22" i="33" s="1"/>
  <c r="P73" i="33"/>
  <c r="D75" i="48"/>
  <c r="L71" i="48"/>
  <c r="N71" i="48" s="1"/>
  <c r="F71" i="48"/>
  <c r="Z28" i="72"/>
  <c r="T31" i="72"/>
  <c r="Z31" i="72" s="1"/>
  <c r="D78" i="58"/>
  <c r="L74" i="58"/>
  <c r="Z27" i="10"/>
  <c r="T31" i="10"/>
  <c r="X31" i="10" s="1"/>
  <c r="P36" i="11"/>
  <c r="T118" i="36"/>
  <c r="V114" i="36"/>
  <c r="X27" i="26"/>
  <c r="P31" i="26"/>
  <c r="D87" i="74"/>
  <c r="L83" i="74"/>
  <c r="N83" i="74" s="1"/>
  <c r="F83" i="74"/>
  <c r="N27" i="94"/>
  <c r="H31" i="94"/>
  <c r="D154" i="15"/>
  <c r="L150" i="15"/>
  <c r="F150" i="15"/>
  <c r="H90" i="27"/>
  <c r="N86" i="27"/>
  <c r="J86" i="27"/>
  <c r="T36" i="43"/>
  <c r="Z36" i="43" s="1"/>
  <c r="Z31" i="43"/>
  <c r="T31" i="50"/>
  <c r="Z27" i="50"/>
  <c r="D72" i="56"/>
  <c r="L68" i="56"/>
  <c r="P74" i="71"/>
  <c r="X70" i="71"/>
  <c r="Z70" i="71" s="1"/>
  <c r="H31" i="46"/>
  <c r="N27" i="46"/>
  <c r="L31" i="6"/>
  <c r="N31" i="6" s="1"/>
  <c r="T26" i="6"/>
  <c r="Z22" i="6"/>
  <c r="L27" i="28"/>
  <c r="D31" i="28"/>
  <c r="P31" i="32"/>
  <c r="X27" i="32"/>
  <c r="L27" i="53"/>
  <c r="P81" i="58"/>
  <c r="X78" i="58"/>
  <c r="F22" i="68"/>
  <c r="P30" i="78"/>
  <c r="X26" i="78"/>
  <c r="P30" i="82"/>
  <c r="X26" i="82"/>
  <c r="Z27" i="95"/>
  <c r="T31" i="95"/>
  <c r="P86" i="27"/>
  <c r="X30" i="27"/>
  <c r="Z30" i="27" s="1"/>
  <c r="H31" i="13"/>
  <c r="N27" i="13"/>
  <c r="P31" i="22"/>
  <c r="X27" i="22"/>
  <c r="D36" i="52"/>
  <c r="H72" i="56"/>
  <c r="N68" i="56"/>
  <c r="N27" i="96"/>
  <c r="H31" i="96"/>
  <c r="T112" i="39"/>
  <c r="V108" i="39"/>
  <c r="P36" i="96"/>
  <c r="P90" i="21"/>
  <c r="X23" i="21"/>
  <c r="Z23" i="21" s="1"/>
  <c r="D31" i="34"/>
  <c r="L27" i="34"/>
  <c r="V89" i="63"/>
  <c r="H31" i="72"/>
  <c r="N31" i="72" s="1"/>
  <c r="N28" i="72"/>
  <c r="F29" i="63"/>
  <c r="H31" i="95"/>
  <c r="N27" i="95"/>
  <c r="H31" i="7"/>
  <c r="N27" i="7"/>
  <c r="N27" i="5"/>
  <c r="H31" i="5"/>
  <c r="T75" i="56"/>
  <c r="X29" i="63"/>
  <c r="Z29" i="63" s="1"/>
  <c r="P82" i="63"/>
  <c r="P28" i="72"/>
  <c r="X24" i="72"/>
  <c r="T93" i="90"/>
  <c r="V89" i="90"/>
  <c r="H75" i="93"/>
  <c r="N71" i="93"/>
  <c r="J71" i="93"/>
  <c r="R39" i="67"/>
  <c r="J121" i="36"/>
  <c r="N27" i="28"/>
  <c r="H31" i="28"/>
  <c r="H35" i="55"/>
  <c r="N31" i="55"/>
  <c r="H61" i="61"/>
  <c r="L19" i="71"/>
  <c r="N19" i="71" s="1"/>
  <c r="D70" i="71"/>
  <c r="D87" i="75"/>
  <c r="L22" i="75"/>
  <c r="N22" i="75" s="1"/>
  <c r="R23" i="83"/>
  <c r="V89" i="89"/>
  <c r="T93" i="89"/>
  <c r="T36" i="26"/>
  <c r="Z36" i="26" s="1"/>
  <c r="Z31" i="26"/>
  <c r="H82" i="51"/>
  <c r="J78" i="51"/>
  <c r="T31" i="8"/>
  <c r="Z27" i="8"/>
  <c r="D94" i="21"/>
  <c r="L90" i="21"/>
  <c r="N90" i="21" s="1"/>
  <c r="F90" i="21"/>
  <c r="X27" i="28"/>
  <c r="R22" i="33"/>
  <c r="F23" i="42"/>
  <c r="D31" i="50"/>
  <c r="L27" i="50"/>
  <c r="P92" i="91"/>
  <c r="X23" i="91"/>
  <c r="Z23" i="91" s="1"/>
  <c r="L31" i="40" l="1"/>
  <c r="N31" i="40"/>
  <c r="X36" i="20"/>
  <c r="H36" i="20"/>
  <c r="N36" i="20" s="1"/>
  <c r="N31" i="20"/>
  <c r="H36" i="29"/>
  <c r="N36" i="29" s="1"/>
  <c r="N31" i="29"/>
  <c r="L31" i="29"/>
  <c r="D36" i="31"/>
  <c r="L36" i="31" s="1"/>
  <c r="L31" i="31"/>
  <c r="H36" i="17"/>
  <c r="N36" i="17" s="1"/>
  <c r="N31" i="17"/>
  <c r="H36" i="4"/>
  <c r="N36" i="4" s="1"/>
  <c r="N31" i="4"/>
  <c r="H36" i="14"/>
  <c r="N36" i="14" s="1"/>
  <c r="N31" i="14"/>
  <c r="D36" i="49"/>
  <c r="L31" i="49"/>
  <c r="D82" i="51"/>
  <c r="L78" i="51"/>
  <c r="N78" i="51" s="1"/>
  <c r="F78" i="51"/>
  <c r="D36" i="17"/>
  <c r="L31" i="17"/>
  <c r="D31" i="54"/>
  <c r="L26" i="54"/>
  <c r="X92" i="91"/>
  <c r="Z92" i="91" s="1"/>
  <c r="P96" i="91"/>
  <c r="R92" i="91"/>
  <c r="T96" i="89"/>
  <c r="V93" i="89"/>
  <c r="H64" i="61"/>
  <c r="P86" i="63"/>
  <c r="X82" i="63"/>
  <c r="Z82" i="63" s="1"/>
  <c r="R82" i="63"/>
  <c r="D36" i="50"/>
  <c r="L36" i="50" s="1"/>
  <c r="L31" i="50"/>
  <c r="Z31" i="8"/>
  <c r="T36" i="8"/>
  <c r="Z36" i="8" s="1"/>
  <c r="H36" i="95"/>
  <c r="N36" i="95" s="1"/>
  <c r="N31" i="95"/>
  <c r="T115" i="39"/>
  <c r="V112" i="39"/>
  <c r="N31" i="46"/>
  <c r="H36" i="46"/>
  <c r="N36" i="46" s="1"/>
  <c r="T121" i="36"/>
  <c r="V118" i="36"/>
  <c r="D36" i="41"/>
  <c r="L31" i="41"/>
  <c r="Z31" i="49"/>
  <c r="T36" i="49"/>
  <c r="Z36" i="49" s="1"/>
  <c r="D86" i="63"/>
  <c r="L82" i="63"/>
  <c r="N82" i="63" s="1"/>
  <c r="F82" i="63"/>
  <c r="D31" i="72"/>
  <c r="L31" i="72" s="1"/>
  <c r="L28" i="72"/>
  <c r="H85" i="69"/>
  <c r="J82" i="69"/>
  <c r="H33" i="78"/>
  <c r="N30" i="78"/>
  <c r="L30" i="78"/>
  <c r="T36" i="40"/>
  <c r="Z36" i="40" s="1"/>
  <c r="Z31" i="40"/>
  <c r="V34" i="76"/>
  <c r="T37" i="76"/>
  <c r="T80" i="79"/>
  <c r="Z77" i="79"/>
  <c r="N31" i="19"/>
  <c r="H36" i="19"/>
  <c r="N36" i="19" s="1"/>
  <c r="J90" i="74"/>
  <c r="H110" i="42"/>
  <c r="J107" i="42"/>
  <c r="L31" i="10"/>
  <c r="D36" i="10"/>
  <c r="T113" i="67"/>
  <c r="V110" i="67"/>
  <c r="T38" i="64"/>
  <c r="Z35" i="64"/>
  <c r="P86" i="24"/>
  <c r="X82" i="24"/>
  <c r="Z82" i="24" s="1"/>
  <c r="R82" i="24"/>
  <c r="T81" i="58"/>
  <c r="Z78" i="58"/>
  <c r="D36" i="14"/>
  <c r="L36" i="14" s="1"/>
  <c r="L31" i="14"/>
  <c r="H36" i="10"/>
  <c r="N36" i="10" s="1"/>
  <c r="N31" i="10"/>
  <c r="X31" i="35"/>
  <c r="P36" i="35"/>
  <c r="T31" i="54"/>
  <c r="Z26" i="54"/>
  <c r="T36" i="34"/>
  <c r="Z36" i="34" s="1"/>
  <c r="Z31" i="34"/>
  <c r="H36" i="53"/>
  <c r="N36" i="53" s="1"/>
  <c r="N31" i="53"/>
  <c r="X69" i="57"/>
  <c r="Z69" i="57" s="1"/>
  <c r="P72" i="57"/>
  <c r="X72" i="57" s="1"/>
  <c r="Z72" i="57" s="1"/>
  <c r="D86" i="24"/>
  <c r="L82" i="24"/>
  <c r="N82" i="24" s="1"/>
  <c r="F82" i="24"/>
  <c r="T77" i="71"/>
  <c r="V74" i="71"/>
  <c r="J99" i="83"/>
  <c r="T36" i="16"/>
  <c r="Z36" i="16" s="1"/>
  <c r="Z31" i="16"/>
  <c r="P75" i="56"/>
  <c r="X75" i="56" s="1"/>
  <c r="X72" i="56"/>
  <c r="Z72" i="56" s="1"/>
  <c r="D85" i="69"/>
  <c r="L82" i="69"/>
  <c r="N82" i="69" s="1"/>
  <c r="F82" i="69"/>
  <c r="T99" i="91"/>
  <c r="V96" i="91"/>
  <c r="D162" i="18"/>
  <c r="L158" i="18"/>
  <c r="N158" i="18" s="1"/>
  <c r="F158" i="18"/>
  <c r="Z75" i="56"/>
  <c r="V89" i="24"/>
  <c r="H38" i="55"/>
  <c r="H78" i="93"/>
  <c r="J75" i="93"/>
  <c r="D36" i="34"/>
  <c r="L36" i="34" s="1"/>
  <c r="L31" i="34"/>
  <c r="H36" i="96"/>
  <c r="N36" i="96" s="1"/>
  <c r="N31" i="96"/>
  <c r="P36" i="22"/>
  <c r="X36" i="22" s="1"/>
  <c r="X31" i="22"/>
  <c r="P33" i="82"/>
  <c r="X30" i="82"/>
  <c r="P36" i="32"/>
  <c r="X31" i="32"/>
  <c r="T157" i="15"/>
  <c r="V154" i="15"/>
  <c r="T36" i="35"/>
  <c r="Z36" i="35" s="1"/>
  <c r="Z31" i="35"/>
  <c r="P36" i="29"/>
  <c r="X36" i="29" s="1"/>
  <c r="X31" i="29"/>
  <c r="P110" i="67"/>
  <c r="X106" i="67"/>
  <c r="Z106" i="67" s="1"/>
  <c r="R106" i="67"/>
  <c r="D93" i="90"/>
  <c r="L89" i="90"/>
  <c r="N89" i="90" s="1"/>
  <c r="F89" i="90"/>
  <c r="H164" i="12"/>
  <c r="J161" i="12"/>
  <c r="T64" i="61"/>
  <c r="X64" i="61" s="1"/>
  <c r="Z31" i="7"/>
  <c r="T36" i="7"/>
  <c r="Z36" i="7" s="1"/>
  <c r="R78" i="93"/>
  <c r="L31" i="95"/>
  <c r="P33" i="86"/>
  <c r="X33" i="86" s="1"/>
  <c r="Z33" i="86" s="1"/>
  <c r="X30" i="86"/>
  <c r="Z30" i="86" s="1"/>
  <c r="D36" i="94"/>
  <c r="L31" i="94"/>
  <c r="H80" i="33"/>
  <c r="J77" i="33"/>
  <c r="D38" i="64"/>
  <c r="L35" i="64"/>
  <c r="H183" i="3"/>
  <c r="J178" i="3"/>
  <c r="H65" i="60"/>
  <c r="L62" i="60"/>
  <c r="N62" i="60" s="1"/>
  <c r="L36" i="40"/>
  <c r="P85" i="51"/>
  <c r="X82" i="51"/>
  <c r="R82" i="51"/>
  <c r="X30" i="76"/>
  <c r="Z30" i="76" s="1"/>
  <c r="P34" i="76"/>
  <c r="R30" i="76"/>
  <c r="P67" i="59"/>
  <c r="X64" i="59"/>
  <c r="H157" i="15"/>
  <c r="J154" i="15"/>
  <c r="T78" i="93"/>
  <c r="X78" i="93" s="1"/>
  <c r="Z75" i="93"/>
  <c r="V75" i="93"/>
  <c r="X31" i="34"/>
  <c r="Z31" i="4"/>
  <c r="T36" i="4"/>
  <c r="Z36" i="4" s="1"/>
  <c r="X36" i="38"/>
  <c r="T36" i="41"/>
  <c r="Z36" i="41" s="1"/>
  <c r="Z31" i="41"/>
  <c r="T36" i="46"/>
  <c r="Z36" i="46" s="1"/>
  <c r="Z31" i="46"/>
  <c r="D96" i="91"/>
  <c r="L92" i="91"/>
  <c r="N92" i="91" s="1"/>
  <c r="F92" i="91"/>
  <c r="T36" i="17"/>
  <c r="Z36" i="17" s="1"/>
  <c r="Z31" i="17"/>
  <c r="T36" i="94"/>
  <c r="Z36" i="94" s="1"/>
  <c r="Z31" i="94"/>
  <c r="H113" i="67"/>
  <c r="J110" i="67"/>
  <c r="D38" i="55"/>
  <c r="L38" i="55" s="1"/>
  <c r="L35" i="55"/>
  <c r="N35" i="55" s="1"/>
  <c r="H31" i="54"/>
  <c r="N26" i="54"/>
  <c r="P90" i="74"/>
  <c r="X87" i="74"/>
  <c r="R87" i="74"/>
  <c r="D33" i="86"/>
  <c r="L30" i="86"/>
  <c r="D36" i="37"/>
  <c r="L31" i="37"/>
  <c r="H38" i="64"/>
  <c r="N35" i="64"/>
  <c r="H36" i="38"/>
  <c r="N36" i="38" s="1"/>
  <c r="N31" i="38"/>
  <c r="L87" i="75"/>
  <c r="N87" i="75" s="1"/>
  <c r="D91" i="75"/>
  <c r="F87" i="75"/>
  <c r="H36" i="5"/>
  <c r="N36" i="5" s="1"/>
  <c r="N31" i="5"/>
  <c r="P94" i="21"/>
  <c r="X90" i="21"/>
  <c r="Z90" i="21" s="1"/>
  <c r="R90" i="21"/>
  <c r="H36" i="13"/>
  <c r="N36" i="13" s="1"/>
  <c r="N31" i="13"/>
  <c r="P33" i="78"/>
  <c r="X33" i="78" s="1"/>
  <c r="X30" i="78"/>
  <c r="H93" i="27"/>
  <c r="J90" i="27"/>
  <c r="D90" i="74"/>
  <c r="L87" i="74"/>
  <c r="N87" i="74" s="1"/>
  <c r="F87" i="74"/>
  <c r="P162" i="18"/>
  <c r="X158" i="18"/>
  <c r="Z158" i="18" s="1"/>
  <c r="R158" i="18"/>
  <c r="D97" i="77"/>
  <c r="L94" i="77"/>
  <c r="F94" i="77"/>
  <c r="T36" i="25"/>
  <c r="Z36" i="25" s="1"/>
  <c r="Z31" i="25"/>
  <c r="D102" i="9"/>
  <c r="L102" i="9" s="1"/>
  <c r="N102" i="9" s="1"/>
  <c r="L99" i="9"/>
  <c r="N99" i="9" s="1"/>
  <c r="T97" i="21"/>
  <c r="V94" i="21"/>
  <c r="D36" i="25"/>
  <c r="L31" i="25"/>
  <c r="H33" i="86"/>
  <c r="N30" i="86"/>
  <c r="D36" i="19"/>
  <c r="L31" i="19"/>
  <c r="H81" i="58"/>
  <c r="T38" i="55"/>
  <c r="Z35" i="55"/>
  <c r="X35" i="55"/>
  <c r="X31" i="8"/>
  <c r="X114" i="36"/>
  <c r="Z114" i="36" s="1"/>
  <c r="P118" i="36"/>
  <c r="R114" i="36"/>
  <c r="N31" i="23"/>
  <c r="H36" i="23"/>
  <c r="N36" i="23" s="1"/>
  <c r="H36" i="44"/>
  <c r="N36" i="44" s="1"/>
  <c r="N31" i="44"/>
  <c r="T78" i="48"/>
  <c r="Z75" i="48"/>
  <c r="V75" i="48"/>
  <c r="D36" i="35"/>
  <c r="L31" i="35"/>
  <c r="Z82" i="51"/>
  <c r="T85" i="51"/>
  <c r="V82" i="51"/>
  <c r="D64" i="61"/>
  <c r="L64" i="61" s="1"/>
  <c r="L61" i="61"/>
  <c r="N61" i="61" s="1"/>
  <c r="D58" i="85"/>
  <c r="L58" i="85" s="1"/>
  <c r="L55" i="85"/>
  <c r="N55" i="85" s="1"/>
  <c r="P36" i="95"/>
  <c r="X31" i="95"/>
  <c r="V110" i="42"/>
  <c r="D107" i="42"/>
  <c r="L103" i="42"/>
  <c r="N103" i="42" s="1"/>
  <c r="F103" i="42"/>
  <c r="Z31" i="44"/>
  <c r="T36" i="44"/>
  <c r="Z36" i="44" s="1"/>
  <c r="P93" i="89"/>
  <c r="X89" i="89"/>
  <c r="Z89" i="89" s="1"/>
  <c r="R89" i="89"/>
  <c r="D35" i="81"/>
  <c r="L32" i="81"/>
  <c r="H36" i="28"/>
  <c r="N36" i="28" s="1"/>
  <c r="N31" i="28"/>
  <c r="D36" i="28"/>
  <c r="L31" i="28"/>
  <c r="D36" i="22"/>
  <c r="L36" i="22" s="1"/>
  <c r="L31" i="22"/>
  <c r="L92" i="83"/>
  <c r="N92" i="83" s="1"/>
  <c r="D96" i="83"/>
  <c r="F92" i="83"/>
  <c r="D113" i="67"/>
  <c r="L110" i="67"/>
  <c r="N110" i="67" s="1"/>
  <c r="F110" i="67"/>
  <c r="N94" i="77"/>
  <c r="H97" i="77"/>
  <c r="J94" i="77"/>
  <c r="D93" i="27"/>
  <c r="L90" i="27"/>
  <c r="N90" i="27" s="1"/>
  <c r="F90" i="27"/>
  <c r="D36" i="4"/>
  <c r="L36" i="4" s="1"/>
  <c r="L31" i="4"/>
  <c r="L70" i="71"/>
  <c r="N70" i="71" s="1"/>
  <c r="D74" i="71"/>
  <c r="T96" i="90"/>
  <c r="V93" i="90"/>
  <c r="D75" i="56"/>
  <c r="L72" i="56"/>
  <c r="P36" i="26"/>
  <c r="X36" i="26" s="1"/>
  <c r="X31" i="26"/>
  <c r="Z31" i="10"/>
  <c r="T36" i="10"/>
  <c r="Z36" i="10" s="1"/>
  <c r="D78" i="48"/>
  <c r="L75" i="48"/>
  <c r="F75" i="48"/>
  <c r="D36" i="11"/>
  <c r="L36" i="11" s="1"/>
  <c r="L31" i="11"/>
  <c r="D36" i="46"/>
  <c r="L31" i="46"/>
  <c r="H31" i="92"/>
  <c r="N31" i="92" s="1"/>
  <c r="N28" i="92"/>
  <c r="D164" i="12"/>
  <c r="L161" i="12"/>
  <c r="N161" i="12" s="1"/>
  <c r="F161" i="12"/>
  <c r="H99" i="91"/>
  <c r="J96" i="91"/>
  <c r="L34" i="87"/>
  <c r="N58" i="85"/>
  <c r="T58" i="85"/>
  <c r="T33" i="82"/>
  <c r="Z33" i="82" s="1"/>
  <c r="Z30" i="82"/>
  <c r="P36" i="31"/>
  <c r="X36" i="31" s="1"/>
  <c r="X31" i="31"/>
  <c r="Z64" i="59"/>
  <c r="T67" i="59"/>
  <c r="X90" i="77"/>
  <c r="Z90" i="77" s="1"/>
  <c r="P94" i="77"/>
  <c r="R90" i="77"/>
  <c r="N31" i="41"/>
  <c r="H36" i="41"/>
  <c r="N36" i="41" s="1"/>
  <c r="D77" i="33"/>
  <c r="L73" i="33"/>
  <c r="N73" i="33" s="1"/>
  <c r="F73" i="33"/>
  <c r="X36" i="43"/>
  <c r="T34" i="87"/>
  <c r="Z31" i="87"/>
  <c r="P107" i="42"/>
  <c r="X103" i="42"/>
  <c r="Z103" i="42" s="1"/>
  <c r="R103" i="42"/>
  <c r="H36" i="52"/>
  <c r="N36" i="52" s="1"/>
  <c r="N31" i="52"/>
  <c r="D36" i="5"/>
  <c r="L31" i="5"/>
  <c r="D115" i="39"/>
  <c r="L112" i="39"/>
  <c r="N112" i="39" s="1"/>
  <c r="F112" i="39"/>
  <c r="X31" i="49"/>
  <c r="P36" i="49"/>
  <c r="H36" i="26"/>
  <c r="N36" i="26" s="1"/>
  <c r="N31" i="26"/>
  <c r="X31" i="5"/>
  <c r="P36" i="5"/>
  <c r="L64" i="59"/>
  <c r="N64" i="59" s="1"/>
  <c r="D67" i="59"/>
  <c r="L67" i="59" s="1"/>
  <c r="N67" i="59" s="1"/>
  <c r="H96" i="89"/>
  <c r="J93" i="89"/>
  <c r="D37" i="76"/>
  <c r="L34" i="76"/>
  <c r="N34" i="76" s="1"/>
  <c r="F34" i="76"/>
  <c r="L31" i="38"/>
  <c r="J37" i="76"/>
  <c r="T36" i="5"/>
  <c r="Z36" i="5" s="1"/>
  <c r="Z31" i="5"/>
  <c r="T64" i="88"/>
  <c r="Z61" i="88"/>
  <c r="P36" i="40"/>
  <c r="X31" i="40"/>
  <c r="P77" i="71"/>
  <c r="X77" i="71" s="1"/>
  <c r="X74" i="71"/>
  <c r="Z74" i="71" s="1"/>
  <c r="D103" i="62"/>
  <c r="L100" i="62"/>
  <c r="Z31" i="11"/>
  <c r="T36" i="11"/>
  <c r="Z36" i="11" s="1"/>
  <c r="P96" i="83"/>
  <c r="X92" i="83"/>
  <c r="Z92" i="83" s="1"/>
  <c r="R92" i="83"/>
  <c r="X31" i="54"/>
  <c r="D36" i="8"/>
  <c r="L36" i="8" s="1"/>
  <c r="L31" i="8"/>
  <c r="T99" i="83"/>
  <c r="V96" i="83"/>
  <c r="T90" i="74"/>
  <c r="Z87" i="74"/>
  <c r="V87" i="74"/>
  <c r="H85" i="51"/>
  <c r="J82" i="51"/>
  <c r="H75" i="56"/>
  <c r="N72" i="56"/>
  <c r="P90" i="27"/>
  <c r="X86" i="27"/>
  <c r="Z86" i="27" s="1"/>
  <c r="R86" i="27"/>
  <c r="Z26" i="6"/>
  <c r="T31" i="6"/>
  <c r="P77" i="33"/>
  <c r="X73" i="33"/>
  <c r="Z73" i="33" s="1"/>
  <c r="R73" i="33"/>
  <c r="D37" i="80"/>
  <c r="L34" i="80"/>
  <c r="T36" i="19"/>
  <c r="Z31" i="19"/>
  <c r="X31" i="19"/>
  <c r="D77" i="68"/>
  <c r="L73" i="68"/>
  <c r="N73" i="68" s="1"/>
  <c r="F73" i="68"/>
  <c r="D36" i="13"/>
  <c r="L31" i="13"/>
  <c r="P112" i="39"/>
  <c r="X108" i="39"/>
  <c r="Z108" i="39" s="1"/>
  <c r="R108" i="39"/>
  <c r="P154" i="15"/>
  <c r="X150" i="15"/>
  <c r="Z150" i="15" s="1"/>
  <c r="R150" i="15"/>
  <c r="X38" i="64"/>
  <c r="H80" i="79"/>
  <c r="D36" i="7"/>
  <c r="L31" i="7"/>
  <c r="D33" i="82"/>
  <c r="L30" i="82"/>
  <c r="H36" i="32"/>
  <c r="N36" i="32" s="1"/>
  <c r="N31" i="32"/>
  <c r="P36" i="25"/>
  <c r="X31" i="25"/>
  <c r="D125" i="30"/>
  <c r="L122" i="30"/>
  <c r="N122" i="30" s="1"/>
  <c r="F122" i="30"/>
  <c r="H125" i="30"/>
  <c r="J122" i="30"/>
  <c r="D93" i="84"/>
  <c r="L93" i="84" s="1"/>
  <c r="N93" i="84" s="1"/>
  <c r="L90" i="84"/>
  <c r="N90" i="84" s="1"/>
  <c r="H77" i="71"/>
  <c r="J74" i="71"/>
  <c r="D118" i="36"/>
  <c r="L114" i="36"/>
  <c r="N114" i="36" s="1"/>
  <c r="F114" i="36"/>
  <c r="H93" i="65"/>
  <c r="J90" i="65"/>
  <c r="T104" i="45"/>
  <c r="V101" i="45"/>
  <c r="P93" i="65"/>
  <c r="X90" i="65"/>
  <c r="Z90" i="65" s="1"/>
  <c r="R90" i="65"/>
  <c r="J32" i="73"/>
  <c r="P36" i="37"/>
  <c r="X31" i="37"/>
  <c r="L86" i="65"/>
  <c r="N86" i="65" s="1"/>
  <c r="D90" i="65"/>
  <c r="F86" i="65"/>
  <c r="X31" i="7"/>
  <c r="J96" i="90"/>
  <c r="H37" i="80"/>
  <c r="N34" i="80"/>
  <c r="H36" i="35"/>
  <c r="N36" i="35" s="1"/>
  <c r="N31" i="35"/>
  <c r="X64" i="88"/>
  <c r="T36" i="28"/>
  <c r="Z36" i="28" s="1"/>
  <c r="Z31" i="28"/>
  <c r="P31" i="92"/>
  <c r="X31" i="92" s="1"/>
  <c r="X28" i="92"/>
  <c r="Z31" i="13"/>
  <c r="T36" i="13"/>
  <c r="Z36" i="13" s="1"/>
  <c r="P36" i="41"/>
  <c r="X31" i="41"/>
  <c r="X178" i="3"/>
  <c r="P183" i="3"/>
  <c r="R178" i="3"/>
  <c r="L36" i="38"/>
  <c r="H97" i="21"/>
  <c r="J94" i="21"/>
  <c r="P36" i="47"/>
  <c r="X36" i="47" s="1"/>
  <c r="X31" i="47"/>
  <c r="T97" i="77"/>
  <c r="V94" i="77"/>
  <c r="J80" i="68"/>
  <c r="P93" i="84"/>
  <c r="X90" i="84"/>
  <c r="D97" i="21"/>
  <c r="L94" i="21"/>
  <c r="N94" i="21" s="1"/>
  <c r="F94" i="21"/>
  <c r="P31" i="72"/>
  <c r="X31" i="72" s="1"/>
  <c r="X28" i="72"/>
  <c r="H36" i="7"/>
  <c r="N36" i="7" s="1"/>
  <c r="N31" i="7"/>
  <c r="Z31" i="95"/>
  <c r="T36" i="95"/>
  <c r="Z36" i="95" s="1"/>
  <c r="X81" i="58"/>
  <c r="T36" i="50"/>
  <c r="Z36" i="50" s="1"/>
  <c r="Z31" i="50"/>
  <c r="D157" i="15"/>
  <c r="L154" i="15"/>
  <c r="N154" i="15" s="1"/>
  <c r="F154" i="15"/>
  <c r="H89" i="24"/>
  <c r="J86" i="24"/>
  <c r="H78" i="48"/>
  <c r="N75" i="48"/>
  <c r="J75" i="48"/>
  <c r="X80" i="79"/>
  <c r="P125" i="30"/>
  <c r="X122" i="30"/>
  <c r="Z122" i="30" s="1"/>
  <c r="R122" i="30"/>
  <c r="P102" i="9"/>
  <c r="X102" i="9" s="1"/>
  <c r="X99" i="9"/>
  <c r="Z99" i="9" s="1"/>
  <c r="P101" i="45"/>
  <c r="X97" i="45"/>
  <c r="Z97" i="45" s="1"/>
  <c r="R97" i="45"/>
  <c r="D36" i="32"/>
  <c r="L31" i="32"/>
  <c r="D64" i="88"/>
  <c r="L64" i="88" s="1"/>
  <c r="N64" i="88" s="1"/>
  <c r="L61" i="88"/>
  <c r="N61" i="88" s="1"/>
  <c r="H94" i="75"/>
  <c r="J91" i="75"/>
  <c r="T36" i="14"/>
  <c r="Z36" i="14" s="1"/>
  <c r="Z31" i="14"/>
  <c r="H35" i="81"/>
  <c r="N32" i="81"/>
  <c r="P36" i="94"/>
  <c r="X31" i="94"/>
  <c r="T36" i="23"/>
  <c r="Z36" i="23" s="1"/>
  <c r="Z31" i="23"/>
  <c r="Z102" i="9"/>
  <c r="X36" i="52"/>
  <c r="T165" i="18"/>
  <c r="V162" i="18"/>
  <c r="X31" i="14"/>
  <c r="T80" i="68"/>
  <c r="V77" i="68"/>
  <c r="T125" i="30"/>
  <c r="V122" i="30"/>
  <c r="H103" i="62"/>
  <c r="N100" i="62"/>
  <c r="D36" i="44"/>
  <c r="L31" i="44"/>
  <c r="T32" i="73"/>
  <c r="V29" i="73"/>
  <c r="H104" i="45"/>
  <c r="J101" i="45"/>
  <c r="H36" i="16"/>
  <c r="N36" i="16" s="1"/>
  <c r="N31" i="16"/>
  <c r="P58" i="85"/>
  <c r="X58" i="85" s="1"/>
  <c r="X55" i="85"/>
  <c r="Z55" i="85" s="1"/>
  <c r="N31" i="25"/>
  <c r="H36" i="25"/>
  <c r="N36" i="25" s="1"/>
  <c r="P94" i="75"/>
  <c r="X91" i="75"/>
  <c r="Z91" i="75" s="1"/>
  <c r="R91" i="75"/>
  <c r="L28" i="92"/>
  <c r="P32" i="73"/>
  <c r="X29" i="73"/>
  <c r="Z29" i="73" s="1"/>
  <c r="R29" i="73"/>
  <c r="N31" i="37"/>
  <c r="H36" i="37"/>
  <c r="N36" i="37" s="1"/>
  <c r="T85" i="69"/>
  <c r="V82" i="69"/>
  <c r="P93" i="90"/>
  <c r="X89" i="90"/>
  <c r="Z89" i="90" s="1"/>
  <c r="R89" i="90"/>
  <c r="D101" i="45"/>
  <c r="L97" i="45"/>
  <c r="N97" i="45" s="1"/>
  <c r="F97" i="45"/>
  <c r="T35" i="81"/>
  <c r="Z32" i="81"/>
  <c r="T164" i="12"/>
  <c r="V161" i="12"/>
  <c r="X31" i="17"/>
  <c r="P36" i="17"/>
  <c r="X31" i="53"/>
  <c r="P36" i="53"/>
  <c r="X36" i="53" s="1"/>
  <c r="T80" i="33"/>
  <c r="V77" i="33"/>
  <c r="P77" i="68"/>
  <c r="X73" i="68"/>
  <c r="Z73" i="68" s="1"/>
  <c r="R73" i="68"/>
  <c r="T183" i="3"/>
  <c r="Z178" i="3"/>
  <c r="V178" i="3"/>
  <c r="D80" i="79"/>
  <c r="L80" i="79" s="1"/>
  <c r="L77" i="79"/>
  <c r="N77" i="79" s="1"/>
  <c r="N34" i="87"/>
  <c r="H36" i="47"/>
  <c r="N36" i="47" s="1"/>
  <c r="N31" i="47"/>
  <c r="N31" i="94"/>
  <c r="H36" i="94"/>
  <c r="N36" i="94" s="1"/>
  <c r="D81" i="58"/>
  <c r="L81" i="58" s="1"/>
  <c r="L78" i="58"/>
  <c r="N78" i="58" s="1"/>
  <c r="H33" i="82"/>
  <c r="N33" i="82" s="1"/>
  <c r="N30" i="82"/>
  <c r="P36" i="23"/>
  <c r="X31" i="23"/>
  <c r="D36" i="23"/>
  <c r="L31" i="23"/>
  <c r="T37" i="80"/>
  <c r="Z34" i="80"/>
  <c r="T36" i="37"/>
  <c r="Z36" i="37" s="1"/>
  <c r="Z31" i="37"/>
  <c r="X62" i="60"/>
  <c r="Z62" i="60" s="1"/>
  <c r="P65" i="60"/>
  <c r="X65" i="60" s="1"/>
  <c r="Z65" i="60" s="1"/>
  <c r="D36" i="47"/>
  <c r="L31" i="47"/>
  <c r="D183" i="3"/>
  <c r="L178" i="3"/>
  <c r="N178" i="3" s="1"/>
  <c r="F178" i="3"/>
  <c r="T93" i="84"/>
  <c r="Z90" i="84"/>
  <c r="V90" i="84"/>
  <c r="X34" i="87"/>
  <c r="X78" i="48"/>
  <c r="R78" i="48"/>
  <c r="D36" i="16"/>
  <c r="L36" i="16" s="1"/>
  <c r="L31" i="16"/>
  <c r="L32" i="73"/>
  <c r="N32" i="73" s="1"/>
  <c r="F32" i="73"/>
  <c r="P82" i="69"/>
  <c r="X78" i="69"/>
  <c r="Z78" i="69" s="1"/>
  <c r="R78" i="69"/>
  <c r="H72" i="57"/>
  <c r="L69" i="57"/>
  <c r="N69" i="57" s="1"/>
  <c r="H89" i="63"/>
  <c r="J86" i="63"/>
  <c r="D36" i="96"/>
  <c r="L31" i="96"/>
  <c r="H36" i="43"/>
  <c r="N36" i="43" s="1"/>
  <c r="N31" i="43"/>
  <c r="T36" i="96"/>
  <c r="Z36" i="96" s="1"/>
  <c r="Z31" i="96"/>
  <c r="L31" i="43"/>
  <c r="P36" i="13"/>
  <c r="X31" i="13"/>
  <c r="D78" i="93"/>
  <c r="L75" i="93"/>
  <c r="N75" i="93" s="1"/>
  <c r="F75" i="93"/>
  <c r="P164" i="12"/>
  <c r="X161" i="12"/>
  <c r="Z161" i="12" s="1"/>
  <c r="R161" i="12"/>
  <c r="H36" i="49"/>
  <c r="N36" i="49" s="1"/>
  <c r="N31" i="49"/>
  <c r="H165" i="18"/>
  <c r="J162" i="18"/>
  <c r="L31" i="92"/>
  <c r="P36" i="50"/>
  <c r="X31" i="50"/>
  <c r="X61" i="61"/>
  <c r="Z61" i="61" s="1"/>
  <c r="L89" i="89"/>
  <c r="N89" i="89" s="1"/>
  <c r="D93" i="89"/>
  <c r="F89" i="89"/>
  <c r="T36" i="32"/>
  <c r="Z36" i="32" s="1"/>
  <c r="Z31" i="32"/>
  <c r="V93" i="27"/>
  <c r="X36" i="34" l="1"/>
  <c r="L36" i="26"/>
  <c r="L36" i="23"/>
  <c r="X36" i="49"/>
  <c r="X36" i="46"/>
  <c r="X36" i="94"/>
  <c r="L36" i="5"/>
  <c r="X36" i="8"/>
  <c r="L36" i="44"/>
  <c r="L36" i="95"/>
  <c r="X36" i="13"/>
  <c r="X36" i="5"/>
  <c r="L36" i="96"/>
  <c r="X36" i="23"/>
  <c r="X36" i="7"/>
  <c r="L36" i="17"/>
  <c r="L36" i="28"/>
  <c r="X36" i="16"/>
  <c r="L36" i="20"/>
  <c r="X36" i="50"/>
  <c r="X36" i="11"/>
  <c r="L36" i="46"/>
  <c r="X36" i="14"/>
  <c r="L36" i="47"/>
  <c r="X36" i="44"/>
  <c r="L36" i="32"/>
  <c r="X36" i="28"/>
  <c r="X36" i="40"/>
  <c r="L36" i="19"/>
  <c r="L36" i="29"/>
  <c r="X36" i="17"/>
  <c r="X36" i="41"/>
  <c r="X36" i="25"/>
  <c r="L36" i="13"/>
  <c r="D96" i="89"/>
  <c r="L93" i="89"/>
  <c r="N93" i="89" s="1"/>
  <c r="F93" i="89"/>
  <c r="J165" i="18"/>
  <c r="L78" i="93"/>
  <c r="N78" i="93" s="1"/>
  <c r="F78" i="93"/>
  <c r="N72" i="57"/>
  <c r="L72" i="57"/>
  <c r="L183" i="3"/>
  <c r="F183" i="3"/>
  <c r="V164" i="12"/>
  <c r="X93" i="90"/>
  <c r="Z93" i="90" s="1"/>
  <c r="P96" i="90"/>
  <c r="R93" i="90"/>
  <c r="X32" i="73"/>
  <c r="R32" i="73"/>
  <c r="Z32" i="73"/>
  <c r="V32" i="73"/>
  <c r="V165" i="18"/>
  <c r="J94" i="75"/>
  <c r="J78" i="48"/>
  <c r="J93" i="65"/>
  <c r="N80" i="79"/>
  <c r="P115" i="39"/>
  <c r="X112" i="39"/>
  <c r="Z112" i="39" s="1"/>
  <c r="R112" i="39"/>
  <c r="Z36" i="19"/>
  <c r="X36" i="19"/>
  <c r="J85" i="51"/>
  <c r="L103" i="62"/>
  <c r="N103" i="62" s="1"/>
  <c r="Z34" i="87"/>
  <c r="P97" i="77"/>
  <c r="X94" i="77"/>
  <c r="Z94" i="77" s="1"/>
  <c r="R94" i="77"/>
  <c r="X93" i="89"/>
  <c r="Z93" i="89" s="1"/>
  <c r="P96" i="89"/>
  <c r="R93" i="89"/>
  <c r="N33" i="86"/>
  <c r="J113" i="67"/>
  <c r="J157" i="15"/>
  <c r="X85" i="51"/>
  <c r="R85" i="51"/>
  <c r="P113" i="67"/>
  <c r="X110" i="67"/>
  <c r="Z110" i="67" s="1"/>
  <c r="R110" i="67"/>
  <c r="D89" i="24"/>
  <c r="L86" i="24"/>
  <c r="N86" i="24" s="1"/>
  <c r="F86" i="24"/>
  <c r="V113" i="67"/>
  <c r="J85" i="69"/>
  <c r="L36" i="52"/>
  <c r="V96" i="89"/>
  <c r="V125" i="30"/>
  <c r="X37" i="80"/>
  <c r="Z37" i="80" s="1"/>
  <c r="J96" i="89"/>
  <c r="Z58" i="85"/>
  <c r="L75" i="56"/>
  <c r="Z85" i="51"/>
  <c r="V85" i="51"/>
  <c r="P165" i="18"/>
  <c r="X162" i="18"/>
  <c r="Z162" i="18" s="1"/>
  <c r="R162" i="18"/>
  <c r="L36" i="37"/>
  <c r="D99" i="91"/>
  <c r="L96" i="91"/>
  <c r="N96" i="91" s="1"/>
  <c r="F96" i="91"/>
  <c r="L38" i="64"/>
  <c r="X36" i="32"/>
  <c r="V99" i="91"/>
  <c r="Z31" i="54"/>
  <c r="Z81" i="58"/>
  <c r="L36" i="41"/>
  <c r="V115" i="39"/>
  <c r="V85" i="69"/>
  <c r="L97" i="21"/>
  <c r="F97" i="21"/>
  <c r="V97" i="77"/>
  <c r="D93" i="65"/>
  <c r="L90" i="65"/>
  <c r="N90" i="65" s="1"/>
  <c r="F90" i="65"/>
  <c r="X93" i="65"/>
  <c r="Z93" i="65" s="1"/>
  <c r="R93" i="65"/>
  <c r="L37" i="80"/>
  <c r="P93" i="27"/>
  <c r="X90" i="27"/>
  <c r="Z90" i="27" s="1"/>
  <c r="R90" i="27"/>
  <c r="L164" i="12"/>
  <c r="N164" i="12" s="1"/>
  <c r="F164" i="12"/>
  <c r="L113" i="67"/>
  <c r="N113" i="67" s="1"/>
  <c r="F113" i="67"/>
  <c r="X36" i="95"/>
  <c r="Z38" i="55"/>
  <c r="X38" i="55"/>
  <c r="L36" i="25"/>
  <c r="D94" i="75"/>
  <c r="L91" i="75"/>
  <c r="N91" i="75" s="1"/>
  <c r="F91" i="75"/>
  <c r="X67" i="59"/>
  <c r="Z67" i="59" s="1"/>
  <c r="J164" i="12"/>
  <c r="X36" i="35"/>
  <c r="L36" i="10"/>
  <c r="P99" i="91"/>
  <c r="X96" i="91"/>
  <c r="Z96" i="91" s="1"/>
  <c r="R96" i="91"/>
  <c r="L82" i="51"/>
  <c r="N82" i="51" s="1"/>
  <c r="D85" i="51"/>
  <c r="F82" i="51"/>
  <c r="P85" i="69"/>
  <c r="X82" i="69"/>
  <c r="Z82" i="69" s="1"/>
  <c r="R82" i="69"/>
  <c r="V183" i="3"/>
  <c r="X35" i="81"/>
  <c r="Z35" i="81" s="1"/>
  <c r="J89" i="24"/>
  <c r="N97" i="21"/>
  <c r="J97" i="21"/>
  <c r="D121" i="36"/>
  <c r="L118" i="36"/>
  <c r="N118" i="36" s="1"/>
  <c r="F118" i="36"/>
  <c r="J125" i="30"/>
  <c r="V90" i="74"/>
  <c r="L78" i="48"/>
  <c r="N78" i="48" s="1"/>
  <c r="F78" i="48"/>
  <c r="L93" i="27"/>
  <c r="F93" i="27"/>
  <c r="X36" i="10"/>
  <c r="L33" i="86"/>
  <c r="X33" i="82"/>
  <c r="J78" i="93"/>
  <c r="L36" i="43"/>
  <c r="P89" i="63"/>
  <c r="X86" i="63"/>
  <c r="Z86" i="63" s="1"/>
  <c r="R86" i="63"/>
  <c r="X94" i="75"/>
  <c r="Z94" i="75" s="1"/>
  <c r="R94" i="75"/>
  <c r="V80" i="68"/>
  <c r="X125" i="30"/>
  <c r="Z125" i="30" s="1"/>
  <c r="R125" i="30"/>
  <c r="V104" i="45"/>
  <c r="L33" i="82"/>
  <c r="N75" i="56"/>
  <c r="P99" i="83"/>
  <c r="X96" i="83"/>
  <c r="Z96" i="83" s="1"/>
  <c r="R96" i="83"/>
  <c r="D80" i="33"/>
  <c r="L77" i="33"/>
  <c r="N77" i="33" s="1"/>
  <c r="F77" i="33"/>
  <c r="V96" i="90"/>
  <c r="D99" i="83"/>
  <c r="L96" i="83"/>
  <c r="N96" i="83" s="1"/>
  <c r="F96" i="83"/>
  <c r="L36" i="35"/>
  <c r="N81" i="58"/>
  <c r="L90" i="74"/>
  <c r="N90" i="74" s="1"/>
  <c r="F90" i="74"/>
  <c r="P37" i="76"/>
  <c r="X34" i="76"/>
  <c r="Z34" i="76" s="1"/>
  <c r="R34" i="76"/>
  <c r="N65" i="60"/>
  <c r="L65" i="60"/>
  <c r="J80" i="33"/>
  <c r="L85" i="69"/>
  <c r="N85" i="69" s="1"/>
  <c r="F85" i="69"/>
  <c r="P89" i="24"/>
  <c r="X86" i="24"/>
  <c r="Z86" i="24" s="1"/>
  <c r="R86" i="24"/>
  <c r="Z80" i="79"/>
  <c r="V121" i="36"/>
  <c r="L36" i="49"/>
  <c r="X164" i="12"/>
  <c r="Z164" i="12" s="1"/>
  <c r="R164" i="12"/>
  <c r="L101" i="45"/>
  <c r="N101" i="45" s="1"/>
  <c r="D104" i="45"/>
  <c r="F101" i="45"/>
  <c r="X93" i="84"/>
  <c r="N37" i="80"/>
  <c r="X36" i="37"/>
  <c r="P157" i="15"/>
  <c r="X154" i="15"/>
  <c r="Z154" i="15" s="1"/>
  <c r="R154" i="15"/>
  <c r="D80" i="68"/>
  <c r="L77" i="68"/>
  <c r="N77" i="68" s="1"/>
  <c r="F77" i="68"/>
  <c r="P80" i="33"/>
  <c r="X77" i="33"/>
  <c r="Z77" i="33" s="1"/>
  <c r="R77" i="33"/>
  <c r="X36" i="96"/>
  <c r="L115" i="39"/>
  <c r="N115" i="39" s="1"/>
  <c r="F115" i="39"/>
  <c r="D77" i="71"/>
  <c r="L77" i="71" s="1"/>
  <c r="L74" i="71"/>
  <c r="N74" i="71" s="1"/>
  <c r="L35" i="81"/>
  <c r="N35" i="81" s="1"/>
  <c r="D110" i="42"/>
  <c r="L107" i="42"/>
  <c r="N107" i="42" s="1"/>
  <c r="F107" i="42"/>
  <c r="P121" i="36"/>
  <c r="X118" i="36"/>
  <c r="Z118" i="36" s="1"/>
  <c r="R118" i="36"/>
  <c r="V97" i="21"/>
  <c r="Z78" i="93"/>
  <c r="V78" i="93"/>
  <c r="D96" i="90"/>
  <c r="L93" i="90"/>
  <c r="N93" i="90" s="1"/>
  <c r="F93" i="90"/>
  <c r="D165" i="18"/>
  <c r="L162" i="18"/>
  <c r="N162" i="18" s="1"/>
  <c r="F162" i="18"/>
  <c r="Z77" i="71"/>
  <c r="V77" i="71"/>
  <c r="X36" i="4"/>
  <c r="N33" i="78"/>
  <c r="L33" i="78"/>
  <c r="D89" i="63"/>
  <c r="L86" i="63"/>
  <c r="N86" i="63" s="1"/>
  <c r="F86" i="63"/>
  <c r="N64" i="61"/>
  <c r="L31" i="54"/>
  <c r="N31" i="54" s="1"/>
  <c r="V80" i="33"/>
  <c r="P80" i="68"/>
  <c r="X77" i="68"/>
  <c r="Z77" i="68" s="1"/>
  <c r="R77" i="68"/>
  <c r="J104" i="45"/>
  <c r="L157" i="15"/>
  <c r="N157" i="15" s="1"/>
  <c r="F157" i="15"/>
  <c r="N77" i="71"/>
  <c r="J77" i="71"/>
  <c r="L125" i="30"/>
  <c r="N125" i="30" s="1"/>
  <c r="F125" i="30"/>
  <c r="L36" i="7"/>
  <c r="V99" i="83"/>
  <c r="Z64" i="88"/>
  <c r="L37" i="76"/>
  <c r="N37" i="76" s="1"/>
  <c r="F37" i="76"/>
  <c r="P110" i="42"/>
  <c r="X107" i="42"/>
  <c r="Z107" i="42" s="1"/>
  <c r="R107" i="42"/>
  <c r="J99" i="91"/>
  <c r="J97" i="77"/>
  <c r="X31" i="6"/>
  <c r="Z31" i="6" s="1"/>
  <c r="L97" i="77"/>
  <c r="N97" i="77" s="1"/>
  <c r="F97" i="77"/>
  <c r="P97" i="21"/>
  <c r="X94" i="21"/>
  <c r="Z94" i="21" s="1"/>
  <c r="R94" i="21"/>
  <c r="L36" i="94"/>
  <c r="N38" i="55"/>
  <c r="Z38" i="64"/>
  <c r="J110" i="42"/>
  <c r="V37" i="76"/>
  <c r="J89" i="63"/>
  <c r="Z93" i="84"/>
  <c r="V93" i="84"/>
  <c r="X101" i="45"/>
  <c r="Z101" i="45" s="1"/>
  <c r="P104" i="45"/>
  <c r="R101" i="45"/>
  <c r="X183" i="3"/>
  <c r="Z183" i="3" s="1"/>
  <c r="R183" i="3"/>
  <c r="Z78" i="48"/>
  <c r="V78" i="48"/>
  <c r="N93" i="27"/>
  <c r="J93" i="27"/>
  <c r="N38" i="64"/>
  <c r="X90" i="74"/>
  <c r="Z90" i="74" s="1"/>
  <c r="R90" i="74"/>
  <c r="N183" i="3"/>
  <c r="J183" i="3"/>
  <c r="Z64" i="61"/>
  <c r="V157" i="15"/>
  <c r="L36" i="53"/>
  <c r="L94" i="75" l="1"/>
  <c r="N94" i="75" s="1"/>
  <c r="F94" i="75"/>
  <c r="X80" i="68"/>
  <c r="Z80" i="68" s="1"/>
  <c r="R80" i="68"/>
  <c r="L80" i="68"/>
  <c r="N80" i="68" s="1"/>
  <c r="F80" i="68"/>
  <c r="L80" i="33"/>
  <c r="N80" i="33" s="1"/>
  <c r="F80" i="33"/>
  <c r="X89" i="63"/>
  <c r="Z89" i="63" s="1"/>
  <c r="R89" i="63"/>
  <c r="L99" i="91"/>
  <c r="N99" i="91" s="1"/>
  <c r="F99" i="91"/>
  <c r="L89" i="24"/>
  <c r="N89" i="24" s="1"/>
  <c r="F89" i="24"/>
  <c r="X97" i="77"/>
  <c r="Z97" i="77" s="1"/>
  <c r="R97" i="77"/>
  <c r="X96" i="90"/>
  <c r="Z96" i="90" s="1"/>
  <c r="R96" i="90"/>
  <c r="X121" i="36"/>
  <c r="Z121" i="36" s="1"/>
  <c r="R121" i="36"/>
  <c r="L104" i="45"/>
  <c r="N104" i="45" s="1"/>
  <c r="F104" i="45"/>
  <c r="X115" i="39"/>
  <c r="Z115" i="39" s="1"/>
  <c r="R115" i="39"/>
  <c r="X97" i="21"/>
  <c r="Z97" i="21" s="1"/>
  <c r="R97" i="21"/>
  <c r="X157" i="15"/>
  <c r="Z157" i="15" s="1"/>
  <c r="R157" i="15"/>
  <c r="X89" i="24"/>
  <c r="Z89" i="24" s="1"/>
  <c r="R89" i="24"/>
  <c r="L99" i="83"/>
  <c r="N99" i="83" s="1"/>
  <c r="F99" i="83"/>
  <c r="X99" i="83"/>
  <c r="Z99" i="83" s="1"/>
  <c r="R99" i="83"/>
  <c r="X113" i="67"/>
  <c r="Z113" i="67" s="1"/>
  <c r="R113" i="67"/>
  <c r="L121" i="36"/>
  <c r="N121" i="36" s="1"/>
  <c r="F121" i="36"/>
  <c r="X104" i="45"/>
  <c r="Z104" i="45" s="1"/>
  <c r="R104" i="45"/>
  <c r="L110" i="42"/>
  <c r="N110" i="42" s="1"/>
  <c r="F110" i="42"/>
  <c r="X37" i="76"/>
  <c r="Z37" i="76" s="1"/>
  <c r="R37" i="76"/>
  <c r="X85" i="69"/>
  <c r="Z85" i="69" s="1"/>
  <c r="R85" i="69"/>
  <c r="L93" i="65"/>
  <c r="N93" i="65" s="1"/>
  <c r="F93" i="65"/>
  <c r="X96" i="89"/>
  <c r="Z96" i="89" s="1"/>
  <c r="R96" i="89"/>
  <c r="X110" i="42"/>
  <c r="Z110" i="42" s="1"/>
  <c r="R110" i="42"/>
  <c r="X80" i="33"/>
  <c r="Z80" i="33" s="1"/>
  <c r="R80" i="33"/>
  <c r="X165" i="18"/>
  <c r="Z165" i="18" s="1"/>
  <c r="R165" i="18"/>
  <c r="L96" i="90"/>
  <c r="N96" i="90" s="1"/>
  <c r="F96" i="90"/>
  <c r="X99" i="91"/>
  <c r="Z99" i="91" s="1"/>
  <c r="R99" i="91"/>
  <c r="L85" i="51"/>
  <c r="N85" i="51" s="1"/>
  <c r="F85" i="51"/>
  <c r="X93" i="27"/>
  <c r="Z93" i="27" s="1"/>
  <c r="R93" i="27"/>
  <c r="L89" i="63"/>
  <c r="N89" i="63" s="1"/>
  <c r="F89" i="63"/>
  <c r="L165" i="18"/>
  <c r="N165" i="18" s="1"/>
  <c r="F165" i="18"/>
  <c r="L96" i="89"/>
  <c r="N96" i="89" s="1"/>
  <c r="F96" i="89"/>
</calcChain>
</file>

<file path=xl/sharedStrings.xml><?xml version="1.0" encoding="utf-8"?>
<sst xmlns="http://schemas.openxmlformats.org/spreadsheetml/2006/main" count="2766" uniqueCount="315">
  <si>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</si>
  <si>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</si>
  <si>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</si>
  <si>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</si>
  <si>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</si>
  <si>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</si>
  <si>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</si>
  <si>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</si>
  <si>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</si>
  <si>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</si>
  <si>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</si>
  <si>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</si>
  <si>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</si>
  <si>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</si>
  <si>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</si>
  <si>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</si>
  <si>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</si>
  <si>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</si>
  <si>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</si>
  <si>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</si>
  <si>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</si>
  <si>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</si>
  <si>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</si>
  <si>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</si>
  <si>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</si>
  <si>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</si>
  <si>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</si>
  <si>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</si>
  <si>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</si>
  <si>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</si>
  <si>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</si>
  <si>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</si>
  <si>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</si>
  <si>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</si>
  <si>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</si>
  <si>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</si>
  <si>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</si>
  <si>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</si>
  <si>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</si>
  <si>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YEAR TO DATE</t>
  </si>
  <si>
    <t>% of Sales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</si>
  <si>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</si>
  <si>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</si>
  <si>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</si>
  <si>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</si>
  <si>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</si>
  <si>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</si>
  <si>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</si>
  <si>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</si>
  <si>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</si>
  <si>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</si>
  <si>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</si>
  <si>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</si>
  <si>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</si>
  <si>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</si>
  <si>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</si>
  <si>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</si>
  <si>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Actual</t>
  </si>
  <si>
    <t>% Budget Sales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</si>
  <si>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</si>
  <si>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</si>
  <si>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</si>
  <si>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</si>
  <si>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</si>
  <si>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</si>
  <si>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</si>
  <si>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</si>
  <si>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</si>
  <si>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</si>
  <si>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</si>
  <si>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</si>
  <si>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</si>
  <si>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</si>
  <si>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</si>
  <si>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</si>
  <si>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</si>
  <si>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</si>
  <si>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</si>
  <si>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</si>
  <si>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</si>
  <si>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</si>
  <si>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</si>
  <si>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</si>
  <si>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</si>
  <si>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</si>
  <si>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</si>
  <si>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</si>
  <si>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</si>
  <si>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</si>
  <si>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</si>
  <si>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</si>
  <si>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</si>
  <si>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</si>
  <si>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</si>
  <si>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</si>
  <si>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</si>
  <si>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</si>
  <si>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</si>
  <si>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</si>
  <si>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</si>
  <si>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</si>
  <si>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</si>
  <si>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</si>
  <si>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</si>
  <si>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</si>
  <si>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5 - ID Card Services</t>
  </si>
  <si>
    <t>Division 491 - Cash Food Operations</t>
  </si>
  <si>
    <t>Division 3 - Bookstore &amp; C-Stores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</si>
  <si>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</si>
  <si>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</si>
  <si>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</si>
  <si>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</si>
  <si>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</si>
  <si>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</si>
  <si>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</si>
  <si>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</si>
  <si>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</si>
  <si>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</si>
  <si>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</si>
  <si>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</si>
  <si>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</si>
  <si>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</si>
  <si>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</si>
  <si>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</si>
  <si>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</si>
  <si>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Division 332 - Combined 316, 320, &amp; 323</t>
  </si>
  <si>
    <t>OPERATING CONTRIBUTION</t>
  </si>
  <si>
    <t>Variance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</si>
  <si>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</si>
  <si>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</si>
  <si>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</si>
  <si>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</si>
  <si>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</si>
  <si>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</si>
  <si>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</si>
  <si>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</si>
  <si>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</si>
  <si>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</si>
  <si>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</si>
  <si>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Division 2 - Administration</t>
  </si>
  <si>
    <t>Sales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</si>
  <si>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</si>
  <si>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</si>
  <si>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</si>
  <si>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</si>
  <si>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</si>
  <si>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</si>
  <si>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</si>
  <si>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</si>
  <si>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</si>
  <si>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</si>
  <si>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</si>
  <si>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</si>
  <si>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</si>
  <si>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</si>
  <si>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</si>
  <si>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</si>
  <si>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</si>
  <si>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</si>
  <si>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</si>
  <si>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</si>
  <si>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</si>
  <si>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</si>
  <si>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</si>
  <si>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</si>
  <si>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</si>
  <si>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</si>
  <si>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</si>
  <si>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</si>
  <si>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</si>
  <si>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</si>
  <si>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</si>
  <si>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</si>
  <si>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</si>
  <si>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</si>
  <si>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</si>
  <si>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</si>
  <si>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</si>
  <si>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</si>
  <si>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</si>
  <si>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</si>
  <si>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</si>
  <si>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</si>
  <si>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</si>
  <si>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</si>
  <si>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</si>
  <si>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</si>
  <si>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</si>
  <si>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</si>
  <si>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</si>
  <si>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</si>
  <si>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</si>
  <si>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</si>
  <si>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</si>
  <si>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</si>
  <si>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</si>
  <si>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</si>
  <si>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</si>
  <si>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</si>
  <si>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Division 310 - C-Stores</t>
  </si>
  <si>
    <t>Division 4 - Food Services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</si>
  <si>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</si>
  <si>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</si>
  <si>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</si>
  <si>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</si>
  <si>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</si>
  <si>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</si>
  <si>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</si>
  <si>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</si>
  <si>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</si>
  <si>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</si>
  <si>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</si>
  <si>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</si>
  <si>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</si>
  <si>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</si>
  <si>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</si>
  <si>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</si>
  <si>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</si>
  <si>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</si>
  <si>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</si>
  <si>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</si>
  <si>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</si>
  <si>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</si>
  <si>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</si>
  <si>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</si>
  <si>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</si>
  <si>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</si>
  <si>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</si>
  <si>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</si>
  <si>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</si>
  <si>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</si>
  <si>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</si>
  <si>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</si>
  <si>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</si>
  <si>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</si>
  <si>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</si>
  <si>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</si>
  <si>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Combined Operating Statement by Department</t>
  </si>
  <si>
    <t>Budget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</si>
  <si>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</si>
  <si>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</si>
  <si>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</si>
  <si>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</si>
  <si>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</si>
  <si>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</si>
  <si>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</si>
  <si>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</si>
  <si>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</si>
  <si>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</si>
  <si>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</si>
  <si>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</si>
  <si>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</si>
  <si>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</si>
  <si>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</si>
  <si>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</si>
  <si>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</si>
  <si>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Division 300 - Bookstore</t>
  </si>
  <si>
    <t>Cost of Goods Sold</t>
  </si>
  <si>
    <t>% Variance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</si>
  <si>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</si>
  <si>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</si>
  <si>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</si>
  <si>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</si>
  <si>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</si>
  <si>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</si>
  <si>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</si>
  <si>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</si>
  <si>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</si>
  <si>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</si>
  <si>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</si>
  <si>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</si>
  <si>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</si>
  <si>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</si>
  <si>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</si>
  <si>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</si>
  <si>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</si>
  <si>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</si>
  <si>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</si>
  <si>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</si>
  <si>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</si>
  <si>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</si>
  <si>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</si>
  <si>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</si>
  <si>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</si>
  <si>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</si>
  <si>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</si>
  <si>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</si>
  <si>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</si>
  <si>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</si>
  <si>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</si>
  <si>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</si>
  <si>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</si>
  <si>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CURRENT PERIOD</t>
  </si>
  <si>
    <t>Credits &amp; Revenues</t>
  </si>
  <si>
    <t>NET CONTRIBUTION</t>
  </si>
  <si>
    <t>Operating Expenses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</si>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</sst>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1" fillId="0" borderId="0" xfId="3" applyNumberFormat="1" applyFont="1" applyFill="1" applyBorder="1"/>
    <xf numFmtId="164" fontId="1" fillId="0" borderId="0" xfId="1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0" fontId="0" fillId="0" borderId="0" xfId="0" applyAlignment="1">
      <alignment horizontal="centerContinuous"/>
    </xf>
    <xf numFmtId="164" fontId="0" fillId="0" borderId="0" xfId="1" applyNumberFormat="1" applyFont="1"/>
    <xf numFmtId="167" fontId="1" fillId="0" borderId="0" xfId="3" applyNumberFormat="1" applyFont="1" applyFill="1"/>
    <xf numFmtId="167" fontId="2" fillId="2" borderId="2" xfId="3" applyNumberFormat="1" applyFont="1" applyFill="1" applyBorder="1"/>
    <xf numFmtId="168" fontId="2" fillId="2" borderId="2" xfId="2" applyNumberFormat="1" applyFont="1" applyFill="1" applyBorder="1"/>
    <xf numFmtId="164" fontId="2" fillId="0" borderId="0" xfId="1" applyNumberFormat="1" applyFont="1" applyFill="1" applyBorder="1"/>
    <xf numFmtId="0" fontId="2" fillId="0" borderId="0" xfId="0" applyFont="1"/>
    <xf numFmtId="0" fontId="1" fillId="0" borderId="0" xfId="0" applyFont="1"/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49" fontId="1" fillId="0" borderId="0" xfId="0" applyNumberFormat="1" applyFont="1" applyFill="1" applyAlignment="1">
      <alignment horizontal="right"/>
    </xf>
    <xf numFmtId="49" fontId="2" fillId="0" borderId="0" xfId="0" applyNumberFormat="1" applyFont="1" applyFill="1" applyBorder="1" applyAlignment="1">
      <alignment horizontal="center"/>
    </xf>
    <xf numFmtId="167" fontId="2" fillId="2" borderId="3" xfId="3" applyNumberFormat="1" applyFont="1" applyFill="1" applyBorder="1"/>
    <xf numFmtId="167" fontId="2" fillId="0" borderId="0" xfId="3" applyNumberFormat="1" applyFont="1" applyFill="1" applyBorder="1"/>
    <xf numFmtId="168" fontId="2" fillId="2" borderId="3" xfId="2" applyNumberFormat="1" applyFont="1" applyFill="1" applyBorder="1"/>
    <xf numFmtId="167" fontId="2" fillId="2" borderId="4" xfId="3" applyNumberFormat="1" applyFont="1" applyFill="1" applyBorder="1"/>
    <xf numFmtId="168" fontId="2" fillId="2" borderId="4" xfId="2" applyNumberFormat="1" applyFont="1" applyFill="1" applyBorder="1"/>
    <xf numFmtId="0" fontId="0" fillId="0" borderId="0" xfId="0" applyFill="1" applyBorder="1"/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 applyAlignment="1">
      <alignment horizontal="centerContinuous"/>
    </xf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49" fontId="1" fillId="0" borderId="0" xfId="0" applyNumberFormat="1" applyFont="1" applyFill="1"/>
    <xf numFmtId="164" fontId="2" fillId="0" borderId="0" xfId="1" applyNumberFormat="1" applyFont="1" applyAlignment="1">
      <alignment horizontal="left"/>
    </xf>
    <xf numFmtId="167" fontId="2" fillId="2" borderId="1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Continuous"/>
    </xf>
    <xf numFmtId="167" fontId="0" fillId="0" borderId="0" xfId="0" applyNumberFormat="1" applyFill="1"/>
    <xf numFmtId="167" fontId="0" fillId="0" borderId="0" xfId="3" applyNumberFormat="1" applyFont="1" applyAlignment="1">
      <alignment horizontal="centerContinuous"/>
    </xf>
    <xf numFmtId="167" fontId="0" fillId="0" borderId="0" xfId="3" applyNumberFormat="1" applyFont="1"/>
    <xf numFmtId="0" fontId="2" fillId="2" borderId="1" xfId="0" applyNumberFormat="1" applyFont="1" applyFill="1" applyBorder="1" applyAlignment="1">
      <alignment horizontal="center"/>
    </xf>
    <xf numFmtId="49" fontId="2" fillId="0" borderId="0" xfId="0" applyNumberFormat="1" applyFont="1" applyFill="1"/>
    <xf numFmtId="165" fontId="0" fillId="0" borderId="0" xfId="0" applyNumberFormat="1"/>
    <xf numFmtId="0" fontId="3" fillId="0" borderId="0" xfId="0" applyFont="1"/>
    <xf numFmtId="164" fontId="2" fillId="0" borderId="0" xfId="1" applyNumberFormat="1" applyFont="1" applyFill="1" applyAlignment="1">
      <alignment horizontal="centerContinuous"/>
    </xf>
    <xf numFmtId="0" fontId="4" fillId="0" borderId="0" xfId="0" applyFont="1" applyAlignment="1">
      <alignment horizontal="left"/>
    </xf>
    <xf numFmtId="0" fontId="2" fillId="0" borderId="0" xfId="0" applyFont="1" applyFill="1" applyBorder="1"/>
    <xf numFmtId="0" fontId="0" fillId="0" borderId="0" xfId="0" applyBorder="1"/>
    <xf numFmtId="0" fontId="5" fillId="0" borderId="0" xfId="0" applyFont="1" applyFill="1"/>
    <xf numFmtId="0" fontId="2" fillId="0" borderId="0" xfId="0" applyFont="1" applyAlignment="1">
      <alignment horizontal="left"/>
    </xf>
    <xf numFmtId="166" fontId="4" fillId="0" borderId="0" xfId="0" applyNumberFormat="1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Continuous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178</v>
      </c>
      <c r="B3" s="41" t="s">
        <v>196</v>
      </c>
      <c r="C3" s="41" t="s">
        <v>239</v>
      </c>
      <c r="D3" s="41" t="s">
        <v>99</v>
      </c>
      <c r="E3" s="41" t="s">
        <v>158</v>
      </c>
      <c r="F3" s="41" t="s">
        <v>0</v>
      </c>
      <c r="G3" s="41" t="s">
        <v>179</v>
      </c>
      <c r="H3" s="41" t="s">
        <v>53</v>
      </c>
      <c r="I3" s="41" t="s">
        <v>100</v>
      </c>
      <c r="J3" s="41" t="s">
        <v>214</v>
      </c>
      <c r="K3" s="41" t="s">
        <v>138</v>
      </c>
      <c r="L3" s="41" t="s">
        <v>215</v>
      </c>
      <c r="M3" s="41" t="s">
        <v>78</v>
      </c>
      <c r="N3" s="41" t="s">
        <v>79</v>
      </c>
      <c r="O3" s="41" t="s">
        <v>180</v>
      </c>
      <c r="P3" s="41" t="s">
        <v>197</v>
      </c>
      <c r="Q3" s="41" t="s">
        <v>17</v>
      </c>
      <c r="R3" s="41" t="s">
        <v>18</v>
      </c>
      <c r="S3" s="41" t="s">
        <v>54</v>
      </c>
      <c r="T3" s="41" t="s">
        <v>216</v>
      </c>
      <c r="U3" s="41" t="s">
        <v>271</v>
      </c>
      <c r="V3" s="41" t="s">
        <v>289</v>
      </c>
      <c r="W3" s="41" t="s">
        <v>181</v>
      </c>
      <c r="X3" s="41" t="s">
        <v>272</v>
      </c>
      <c r="Y3" s="41" t="s">
        <v>102</v>
      </c>
      <c r="Z3" s="41" t="s">
        <v>253</v>
      </c>
      <c r="AA3" s="41" t="s">
        <v>159</v>
      </c>
      <c r="AB3" s="41" t="s">
        <v>273</v>
      </c>
      <c r="AC3" s="41" t="s">
        <v>19</v>
      </c>
      <c r="AD3" s="41" t="s">
        <v>103</v>
      </c>
      <c r="AE3" s="41" t="s">
        <v>160</v>
      </c>
      <c r="AF3" s="41" t="s">
        <v>104</v>
      </c>
      <c r="AG3" s="41" t="s">
        <v>198</v>
      </c>
      <c r="AH3" s="41" t="s">
        <v>38</v>
      </c>
      <c r="AI3" s="41" t="s">
        <v>274</v>
      </c>
      <c r="AJ3" s="41" t="s">
        <v>275</v>
      </c>
      <c r="AK3" s="41" t="s">
        <v>80</v>
      </c>
      <c r="AL3" s="41" t="s">
        <v>254</v>
      </c>
      <c r="AM3" s="41" t="s">
        <v>255</v>
      </c>
      <c r="AN3" s="41" t="s">
        <v>235</v>
      </c>
      <c r="AO3" s="41" t="s">
        <v>311</v>
      </c>
      <c r="AP3" s="41" t="s">
        <v>312</v>
      </c>
      <c r="AQ3" s="41" t="s">
        <v>124</v>
      </c>
      <c r="AR3" s="41" t="s">
        <v>182</v>
      </c>
      <c r="AS3" s="41" t="s">
        <v>236</v>
      </c>
      <c r="AT3" s="41" t="s">
        <v>276</v>
      </c>
      <c r="AU3" s="41" t="s">
        <v>217</v>
      </c>
      <c r="AV3" s="41" t="s">
        <v>123</v>
      </c>
      <c r="AW3" s="41" t="s">
        <v>101</v>
      </c>
      <c r="AX3" s="41" t="s">
        <v>290</v>
      </c>
      <c r="AY3" s="41" t="s">
        <v>20</v>
      </c>
      <c r="AZ3" s="41" t="s">
        <v>291</v>
      </c>
      <c r="BA3" s="41" t="s">
        <v>278</v>
      </c>
      <c r="BB3" s="41" t="s">
        <v>110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139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107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107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256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256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314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314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199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199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81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239</v>
      </c>
      <c r="B3" s="41" t="s">
        <v>296</v>
      </c>
      <c r="C3" s="41" t="s">
        <v>0</v>
      </c>
      <c r="D3" s="41" t="s">
        <v>59</v>
      </c>
      <c r="E3" s="41" t="s">
        <v>83</v>
      </c>
      <c r="F3" s="41" t="s">
        <v>24</v>
      </c>
      <c r="G3" s="41" t="s">
        <v>129</v>
      </c>
      <c r="H3" s="41" t="s">
        <v>161</v>
      </c>
      <c r="I3" s="41" t="s">
        <v>109</v>
      </c>
      <c r="J3" s="41" t="s">
        <v>240</v>
      </c>
      <c r="K3" s="41" t="s">
        <v>130</v>
      </c>
      <c r="L3" s="41" t="s">
        <v>25</v>
      </c>
      <c r="M3" s="41" t="s">
        <v>60</v>
      </c>
      <c r="N3" s="41" t="s">
        <v>41</v>
      </c>
      <c r="O3" s="41" t="s">
        <v>61</v>
      </c>
      <c r="P3" s="41" t="s">
        <v>162</v>
      </c>
      <c r="Q3" s="41" t="s">
        <v>26</v>
      </c>
      <c r="R3" s="41" t="s">
        <v>185</v>
      </c>
      <c r="S3" s="41" t="s">
        <v>186</v>
      </c>
      <c r="T3" s="41" t="s">
        <v>201</v>
      </c>
      <c r="U3" s="41" t="s">
        <v>27</v>
      </c>
      <c r="V3" s="41" t="s">
        <v>241</v>
      </c>
      <c r="W3" s="41" t="s">
        <v>259</v>
      </c>
      <c r="X3" s="41" t="s">
        <v>202</v>
      </c>
      <c r="Y3" s="41" t="s">
        <v>187</v>
      </c>
      <c r="Z3" s="41" t="s">
        <v>1</v>
      </c>
      <c r="AA3" s="41" t="s">
        <v>279</v>
      </c>
      <c r="AB3" s="41" t="s">
        <v>131</v>
      </c>
      <c r="AC3" s="41" t="s">
        <v>111</v>
      </c>
      <c r="AD3" s="41" t="s">
        <v>42</v>
      </c>
      <c r="AE3" s="41" t="s">
        <v>84</v>
      </c>
      <c r="AF3" s="41" t="s">
        <v>43</v>
      </c>
      <c r="AG3" s="41" t="s">
        <v>220</v>
      </c>
      <c r="AH3" s="41" t="s">
        <v>163</v>
      </c>
      <c r="AI3" s="41" t="s">
        <v>203</v>
      </c>
      <c r="AJ3" s="41" t="s">
        <v>63</v>
      </c>
      <c r="AK3" s="41" t="s">
        <v>132</v>
      </c>
      <c r="AL3" s="41" t="s">
        <v>297</v>
      </c>
      <c r="AM3" s="41" t="s">
        <v>204</v>
      </c>
      <c r="AN3" s="41" t="s">
        <v>64</v>
      </c>
      <c r="AO3" s="41" t="s">
        <v>28</v>
      </c>
      <c r="AP3" s="41" t="s">
        <v>205</v>
      </c>
      <c r="AQ3" s="41" t="s">
        <v>65</v>
      </c>
      <c r="AR3" s="41" t="s">
        <v>260</v>
      </c>
      <c r="AS3" s="41" t="s">
        <v>221</v>
      </c>
      <c r="AT3" s="41" t="s">
        <v>3</v>
      </c>
      <c r="AU3" s="41" t="s">
        <v>280</v>
      </c>
      <c r="AV3" s="41" t="s">
        <v>141</v>
      </c>
      <c r="AW3" s="41" t="s">
        <v>4</v>
      </c>
      <c r="AX3" s="41" t="s">
        <v>85</v>
      </c>
      <c r="AY3" s="41" t="s">
        <v>298</v>
      </c>
      <c r="AZ3" s="41" t="s">
        <v>66</v>
      </c>
      <c r="BA3" s="41" t="s">
        <v>222</v>
      </c>
      <c r="BB3" s="41" t="s">
        <v>67</v>
      </c>
      <c r="BC3" s="41" t="s">
        <v>242</v>
      </c>
      <c r="BD3" s="41" t="s">
        <v>281</v>
      </c>
      <c r="BE3" s="41" t="s">
        <v>142</v>
      </c>
      <c r="BF3" s="41" t="s">
        <v>299</v>
      </c>
      <c r="BG3" s="41" t="s">
        <v>112</v>
      </c>
      <c r="BH3" s="41" t="s">
        <v>113</v>
      </c>
      <c r="BI3" s="41" t="s">
        <v>243</v>
      </c>
      <c r="BJ3" s="41" t="s">
        <v>223</v>
      </c>
      <c r="BK3" s="41" t="s">
        <v>68</v>
      </c>
      <c r="BL3" s="41" t="s">
        <v>164</v>
      </c>
      <c r="BM3" s="41" t="s">
        <v>282</v>
      </c>
      <c r="BN3" s="41" t="s">
        <v>224</v>
      </c>
      <c r="BO3" s="41" t="s">
        <v>300</v>
      </c>
      <c r="BP3" s="41" t="s">
        <v>143</v>
      </c>
      <c r="BQ3" s="41" t="s">
        <v>225</v>
      </c>
      <c r="BR3" s="41" t="s">
        <v>133</v>
      </c>
      <c r="BS3" s="41" t="s">
        <v>206</v>
      </c>
      <c r="BT3" s="41" t="s">
        <v>69</v>
      </c>
      <c r="BU3" s="41" t="s">
        <v>226</v>
      </c>
      <c r="BV3" s="41" t="s">
        <v>261</v>
      </c>
      <c r="BW3" s="41" t="s">
        <v>301</v>
      </c>
      <c r="BX3" s="41" t="s">
        <v>165</v>
      </c>
      <c r="BY3" s="41" t="s">
        <v>283</v>
      </c>
      <c r="BZ3" s="41" t="s">
        <v>144</v>
      </c>
      <c r="CA3" s="41" t="s">
        <v>5</v>
      </c>
      <c r="CB3" s="41" t="s">
        <v>114</v>
      </c>
      <c r="CC3" s="41" t="s">
        <v>207</v>
      </c>
      <c r="CD3" s="41" t="s">
        <v>44</v>
      </c>
      <c r="CE3" s="41" t="s">
        <v>227</v>
      </c>
      <c r="CF3" s="41" t="s">
        <v>45</v>
      </c>
      <c r="CG3" s="41" t="s">
        <v>284</v>
      </c>
      <c r="CH3" s="41" t="s">
        <v>188</v>
      </c>
      <c r="CI3" s="41" t="s">
        <v>134</v>
      </c>
      <c r="CJ3" s="41" t="s">
        <v>302</v>
      </c>
      <c r="CK3" s="41" t="s">
        <v>115</v>
      </c>
      <c r="CL3" s="41" t="s">
        <v>145</v>
      </c>
      <c r="CM3" s="41" t="s">
        <v>146</v>
      </c>
      <c r="CN3" s="41" t="s">
        <v>208</v>
      </c>
      <c r="CO3" s="41" t="s">
        <v>86</v>
      </c>
      <c r="CP3" s="41" t="s">
        <v>166</v>
      </c>
      <c r="CQ3" s="41" t="s">
        <v>303</v>
      </c>
      <c r="CR3" s="41" t="s">
        <v>135</v>
      </c>
      <c r="CS3" s="41" t="s">
        <v>285</v>
      </c>
      <c r="CT3" s="41" t="s">
        <v>167</v>
      </c>
      <c r="CU3" s="41" t="s">
        <v>228</v>
      </c>
      <c r="CV3" s="41" t="s">
        <v>168</v>
      </c>
      <c r="CW3" s="41" t="s">
        <v>116</v>
      </c>
      <c r="CX3" s="41" t="s">
        <v>46</v>
      </c>
      <c r="CY3" s="41" t="s">
        <v>244</v>
      </c>
      <c r="CZ3" s="41" t="s">
        <v>262</v>
      </c>
      <c r="DA3" s="41" t="s">
        <v>6</v>
      </c>
      <c r="DB3" s="41" t="s">
        <v>87</v>
      </c>
      <c r="DC3" s="41" t="s">
        <v>147</v>
      </c>
      <c r="DD3" s="41" t="s">
        <v>7</v>
      </c>
      <c r="DE3" s="41" t="s">
        <v>8</v>
      </c>
      <c r="DF3" s="41" t="s">
        <v>189</v>
      </c>
      <c r="DG3" s="41" t="s">
        <v>47</v>
      </c>
      <c r="DH3" s="41" t="s">
        <v>229</v>
      </c>
      <c r="DI3" s="41" t="s">
        <v>88</v>
      </c>
      <c r="DJ3" s="41" t="s">
        <v>70</v>
      </c>
      <c r="DK3" s="41" t="s">
        <v>29</v>
      </c>
      <c r="DL3" s="41" t="s">
        <v>30</v>
      </c>
      <c r="DM3" s="41" t="s">
        <v>304</v>
      </c>
      <c r="DN3" s="41" t="s">
        <v>169</v>
      </c>
      <c r="DO3" s="41" t="s">
        <v>136</v>
      </c>
      <c r="DP3" s="41" t="s">
        <v>209</v>
      </c>
      <c r="DQ3" s="41" t="s">
        <v>9</v>
      </c>
      <c r="DR3" s="41" t="s">
        <v>71</v>
      </c>
      <c r="DS3" s="41" t="s">
        <v>245</v>
      </c>
      <c r="DT3" s="41" t="s">
        <v>170</v>
      </c>
      <c r="DU3" s="41" t="s">
        <v>72</v>
      </c>
      <c r="DV3" s="41" t="s">
        <v>305</v>
      </c>
      <c r="DW3" s="41" t="s">
        <v>171</v>
      </c>
      <c r="DX3" s="41" t="s">
        <v>148</v>
      </c>
      <c r="DY3" s="41" t="s">
        <v>31</v>
      </c>
      <c r="DZ3" s="41" t="s">
        <v>32</v>
      </c>
      <c r="EA3" s="41" t="s">
        <v>48</v>
      </c>
      <c r="EB3" s="41" t="s">
        <v>246</v>
      </c>
      <c r="EC3" s="41" t="s">
        <v>230</v>
      </c>
      <c r="ED3" s="41" t="s">
        <v>89</v>
      </c>
      <c r="EE3" s="41" t="s">
        <v>190</v>
      </c>
      <c r="EF3" s="41" t="s">
        <v>33</v>
      </c>
      <c r="EG3" s="41" t="s">
        <v>10</v>
      </c>
      <c r="EH3" s="41" t="s">
        <v>306</v>
      </c>
      <c r="EI3" s="41" t="s">
        <v>149</v>
      </c>
      <c r="EJ3" s="41" t="s">
        <v>49</v>
      </c>
      <c r="EK3" s="41" t="s">
        <v>11</v>
      </c>
      <c r="EL3" s="41" t="s">
        <v>90</v>
      </c>
      <c r="EM3" s="41" t="s">
        <v>73</v>
      </c>
      <c r="EN3" s="41" t="s">
        <v>210</v>
      </c>
      <c r="EO3" s="41" t="s">
        <v>231</v>
      </c>
      <c r="EP3" s="41" t="s">
        <v>286</v>
      </c>
      <c r="EQ3" s="41" t="s">
        <v>172</v>
      </c>
      <c r="ER3" s="41" t="s">
        <v>150</v>
      </c>
      <c r="ES3" s="41" t="s">
        <v>247</v>
      </c>
      <c r="ET3" s="41" t="s">
        <v>74</v>
      </c>
      <c r="EU3" s="41" t="s">
        <v>263</v>
      </c>
      <c r="EV3" s="41" t="s">
        <v>264</v>
      </c>
      <c r="EW3" s="41" t="s">
        <v>232</v>
      </c>
      <c r="EX3" s="41" t="s">
        <v>307</v>
      </c>
      <c r="EY3" s="41" t="s">
        <v>248</v>
      </c>
      <c r="EZ3" s="41" t="s">
        <v>249</v>
      </c>
      <c r="FA3" s="41" t="s">
        <v>34</v>
      </c>
      <c r="FB3" s="41" t="s">
        <v>308</v>
      </c>
      <c r="FC3" s="41" t="s">
        <v>50</v>
      </c>
      <c r="FD3" s="41" t="s">
        <v>91</v>
      </c>
      <c r="FE3" s="41" t="s">
        <v>233</v>
      </c>
      <c r="FF3" s="41" t="s">
        <v>117</v>
      </c>
      <c r="FG3" s="41" t="s">
        <v>92</v>
      </c>
      <c r="FH3" s="41" t="s">
        <v>93</v>
      </c>
      <c r="FI3" s="41" t="s">
        <v>265</v>
      </c>
      <c r="FJ3" s="41" t="s">
        <v>191</v>
      </c>
      <c r="FK3" s="41" t="s">
        <v>192</v>
      </c>
      <c r="FL3" s="41" t="s">
        <v>173</v>
      </c>
      <c r="FM3" s="41" t="s">
        <v>151</v>
      </c>
      <c r="FN3" s="41" t="s">
        <v>118</v>
      </c>
      <c r="FO3" s="41" t="s">
        <v>174</v>
      </c>
      <c r="FP3" s="41" t="s">
        <v>266</v>
      </c>
      <c r="FQ3" s="41" t="s">
        <v>250</v>
      </c>
      <c r="FR3" s="41" t="s">
        <v>211</v>
      </c>
      <c r="FS3" s="41" t="s">
        <v>287</v>
      </c>
      <c r="FT3" s="41" t="s">
        <v>152</v>
      </c>
      <c r="FU3" s="41" t="s">
        <v>12</v>
      </c>
      <c r="FV3" s="41" t="s">
        <v>193</v>
      </c>
      <c r="FW3" s="41" t="s">
        <v>94</v>
      </c>
      <c r="FX3" s="41" t="s">
        <v>153</v>
      </c>
      <c r="FY3" s="41" t="s">
        <v>175</v>
      </c>
      <c r="FZ3" s="41" t="s">
        <v>95</v>
      </c>
      <c r="GA3" s="41" t="s">
        <v>267</v>
      </c>
      <c r="GB3" s="41" t="s">
        <v>35</v>
      </c>
      <c r="GC3" s="41" t="s">
        <v>36</v>
      </c>
      <c r="GD3" s="41" t="s">
        <v>288</v>
      </c>
      <c r="GE3" s="41" t="s">
        <v>119</v>
      </c>
      <c r="GF3" s="41" t="s">
        <v>234</v>
      </c>
      <c r="GG3" s="41" t="s">
        <v>194</v>
      </c>
      <c r="GH3" s="41" t="s">
        <v>195</v>
      </c>
      <c r="GI3" s="41" t="s">
        <v>268</v>
      </c>
      <c r="GJ3" s="41" t="s">
        <v>137</v>
      </c>
      <c r="GK3" s="41" t="s">
        <v>37</v>
      </c>
      <c r="GL3" s="41" t="s">
        <v>75</v>
      </c>
      <c r="GM3" s="41" t="s">
        <v>120</v>
      </c>
      <c r="GN3" s="41" t="s">
        <v>13</v>
      </c>
      <c r="GO3" s="41" t="s">
        <v>309</v>
      </c>
      <c r="GP3" s="41" t="s">
        <v>212</v>
      </c>
      <c r="GQ3" s="41" t="s">
        <v>76</v>
      </c>
      <c r="GR3" s="41" t="s">
        <v>176</v>
      </c>
      <c r="GS3" s="41" t="s">
        <v>154</v>
      </c>
      <c r="GT3" s="41" t="s">
        <v>121</v>
      </c>
      <c r="GU3" s="41" t="s">
        <v>251</v>
      </c>
      <c r="GV3" s="41" t="s">
        <v>51</v>
      </c>
      <c r="GW3" s="41" t="s">
        <v>14</v>
      </c>
      <c r="GX3" s="41" t="s">
        <v>310</v>
      </c>
      <c r="GY3" s="41" t="s">
        <v>96</v>
      </c>
      <c r="GZ3" s="41" t="s">
        <v>269</v>
      </c>
      <c r="HA3" s="41" t="s">
        <v>177</v>
      </c>
      <c r="HB3" s="41" t="s">
        <v>213</v>
      </c>
      <c r="HC3" s="41" t="s">
        <v>252</v>
      </c>
      <c r="HD3" s="41" t="s">
        <v>155</v>
      </c>
      <c r="HE3" s="41" t="s">
        <v>15</v>
      </c>
      <c r="HF3" s="41" t="s">
        <v>97</v>
      </c>
      <c r="HG3" s="41" t="s">
        <v>98</v>
      </c>
      <c r="HH3" s="41" t="s">
        <v>52</v>
      </c>
      <c r="HI3" s="41" t="s">
        <v>122</v>
      </c>
      <c r="HJ3" s="41" t="s">
        <v>270</v>
      </c>
      <c r="HK3" s="41"/>
      <c r="HL3" s="41" t="s">
        <v>2</v>
      </c>
      <c r="HM3" s="67"/>
      <c r="HN3" s="41" t="s">
        <v>278</v>
      </c>
      <c r="HO3" s="41" t="s">
        <v>110</v>
      </c>
      <c r="HP3" t="s">
        <v>62</v>
      </c>
      <c r="JK3" s="41" t="s">
        <v>16</v>
      </c>
      <c r="JL3" s="41" t="s">
        <v>156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77</v>
      </c>
      <c r="JL10002" s="41" t="s">
        <v>157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81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21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21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22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22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125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125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200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200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55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outlinePr summaryBelow="0" summaryRight="0"/>
  </sheetPr>
  <dimension ref="A2:Z188"/>
  <sheetViews>
    <sheetView tabSelected="1" zoomScale="80" workbookViewId="0">
      <pane xSplit="3" ySplit="10" topLeftCell="D6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313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2349602.9600000004</v>
      </c>
      <c r="E12" s="4"/>
      <c r="F12" s="12"/>
      <c r="G12" s="4"/>
      <c r="H12" s="4">
        <f>SUM(OSRRefH13x_0)</f>
        <v>2385376</v>
      </c>
      <c r="I12" s="4"/>
      <c r="J12" s="12"/>
      <c r="K12" s="4"/>
      <c r="L12" s="4">
        <f t="shared" ref="L12:L22" si="0">+D12-H12</f>
        <v>-35773.039999999572</v>
      </c>
      <c r="M12" s="4"/>
      <c r="N12" s="12">
        <f t="shared" ref="N12:N22" si="1">IF(H12=0,0,L12/H12)</f>
        <v>-1.4996813919482535E-2</v>
      </c>
      <c r="O12" s="10"/>
      <c r="P12" s="4">
        <f>SUM(OSRRefP13x_0)</f>
        <v>5342285.28</v>
      </c>
      <c r="Q12" s="4"/>
      <c r="R12" s="12"/>
      <c r="S12" s="4"/>
      <c r="T12" s="4">
        <f>SUM(OSRRefT13x_0)</f>
        <v>6679547</v>
      </c>
      <c r="U12" s="4"/>
      <c r="V12" s="12"/>
      <c r="W12" s="4"/>
      <c r="X12" s="4">
        <f t="shared" ref="X12:X22" si="2">+P12-T12</f>
        <v>-1337261.7199999997</v>
      </c>
      <c r="Y12" s="4"/>
      <c r="Z12" s="12">
        <f t="shared" ref="Z12:Z22" si="3">IF(T12=0,0,X12/T12)</f>
        <v>-0.20020245684325594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--602508.39</f>
        <v>602508.39</v>
      </c>
      <c r="E13" s="2"/>
      <c r="F13" s="19"/>
      <c r="G13" s="2"/>
      <c r="H13" s="2">
        <v>1050524</v>
      </c>
      <c r="I13" s="2"/>
      <c r="J13" s="19"/>
      <c r="K13" s="2"/>
      <c r="L13" s="2">
        <f t="shared" si="0"/>
        <v>-448015.61</v>
      </c>
      <c r="M13" s="2"/>
      <c r="N13" s="19">
        <f t="shared" si="1"/>
        <v>-0.42646870514143415</v>
      </c>
      <c r="O13" s="11"/>
      <c r="P13" s="2">
        <f>--2393375.75</f>
        <v>2393375.75</v>
      </c>
      <c r="Q13" s="2"/>
      <c r="R13" s="19"/>
      <c r="S13" s="2"/>
      <c r="T13" s="2">
        <v>4749733</v>
      </c>
      <c r="U13" s="2"/>
      <c r="V13" s="19"/>
      <c r="W13" s="2"/>
      <c r="X13" s="2">
        <f t="shared" si="2"/>
        <v>-2356357.25</v>
      </c>
      <c r="Y13" s="2"/>
      <c r="Z13" s="19">
        <f t="shared" si="3"/>
        <v>-0.49610309674249059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--33705.87</f>
        <v>33705.870000000003</v>
      </c>
      <c r="E14" s="2"/>
      <c r="F14" s="19"/>
      <c r="G14" s="2"/>
      <c r="H14" s="2"/>
      <c r="I14" s="2"/>
      <c r="J14" s="19"/>
      <c r="K14" s="2"/>
      <c r="L14" s="2">
        <f t="shared" si="0"/>
        <v>33705.870000000003</v>
      </c>
      <c r="M14" s="2"/>
      <c r="N14" s="19">
        <f t="shared" si="1"/>
        <v>0</v>
      </c>
      <c r="O14" s="11"/>
      <c r="P14" s="2">
        <f>--64976.31</f>
        <v>64976.31</v>
      </c>
      <c r="Q14" s="2"/>
      <c r="R14" s="19"/>
      <c r="S14" s="2"/>
      <c r="T14" s="2"/>
      <c r="U14" s="2"/>
      <c r="V14" s="19"/>
      <c r="W14" s="2"/>
      <c r="X14" s="2">
        <f t="shared" si="2"/>
        <v>64976.31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--783.19</f>
        <v>783.19</v>
      </c>
      <c r="E15" s="2"/>
      <c r="F15" s="19"/>
      <c r="G15" s="2"/>
      <c r="H15" s="2"/>
      <c r="I15" s="2"/>
      <c r="J15" s="19"/>
      <c r="K15" s="2"/>
      <c r="L15" s="2">
        <f t="shared" si="0"/>
        <v>783.19</v>
      </c>
      <c r="M15" s="2"/>
      <c r="N15" s="19">
        <f t="shared" si="1"/>
        <v>0</v>
      </c>
      <c r="O15" s="11"/>
      <c r="P15" s="2">
        <f>--1274.02</f>
        <v>1274.02</v>
      </c>
      <c r="Q15" s="2"/>
      <c r="R15" s="19"/>
      <c r="S15" s="2"/>
      <c r="T15" s="2"/>
      <c r="U15" s="2"/>
      <c r="V15" s="19"/>
      <c r="W15" s="2"/>
      <c r="X15" s="2">
        <f t="shared" si="2"/>
        <v>1274.02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--231457.89</f>
        <v>231457.89</v>
      </c>
      <c r="E16" s="2"/>
      <c r="F16" s="19"/>
      <c r="G16" s="2"/>
      <c r="H16" s="2">
        <v>1334852</v>
      </c>
      <c r="I16" s="2"/>
      <c r="J16" s="19"/>
      <c r="K16" s="2"/>
      <c r="L16" s="2">
        <f t="shared" si="0"/>
        <v>-1103394.1099999999</v>
      </c>
      <c r="M16" s="2"/>
      <c r="N16" s="19">
        <f t="shared" si="1"/>
        <v>-0.82660408045236466</v>
      </c>
      <c r="O16" s="11"/>
      <c r="P16" s="2">
        <f>--955288</f>
        <v>955288</v>
      </c>
      <c r="Q16" s="2"/>
      <c r="R16" s="19"/>
      <c r="S16" s="2"/>
      <c r="T16" s="2">
        <v>1929814</v>
      </c>
      <c r="U16" s="2"/>
      <c r="V16" s="19"/>
      <c r="W16" s="2"/>
      <c r="X16" s="2">
        <f t="shared" si="2"/>
        <v>-974526</v>
      </c>
      <c r="Y16" s="2"/>
      <c r="Z16" s="19">
        <f t="shared" si="3"/>
        <v>-0.50498441818745221</v>
      </c>
    </row>
    <row r="17" spans="1:26" s="24" customFormat="1" hidden="1" outlineLevel="1" x14ac:dyDescent="0.25">
      <c r="A17" s="44"/>
      <c r="B17" s="11" t="str">
        <f>CONCATENATE("          ", "4141", " - ", "NON-TAXABLE SALES-LOGO GIFTS")</f>
        <v xml:space="preserve">          4141 - NON-TAXABLE SALES-LOGO GIFTS</v>
      </c>
      <c r="C17" s="11"/>
      <c r="D17" s="2">
        <f>--71.05</f>
        <v>71.05</v>
      </c>
      <c r="E17" s="2"/>
      <c r="F17" s="19"/>
      <c r="G17" s="2"/>
      <c r="H17" s="2"/>
      <c r="I17" s="2"/>
      <c r="J17" s="19"/>
      <c r="K17" s="2"/>
      <c r="L17" s="2">
        <f t="shared" si="0"/>
        <v>71.05</v>
      </c>
      <c r="M17" s="2"/>
      <c r="N17" s="19">
        <f t="shared" si="1"/>
        <v>0</v>
      </c>
      <c r="O17" s="11"/>
      <c r="P17" s="2">
        <f>--460.55</f>
        <v>460.55</v>
      </c>
      <c r="Q17" s="2"/>
      <c r="R17" s="19"/>
      <c r="S17" s="2"/>
      <c r="T17" s="2"/>
      <c r="U17" s="2"/>
      <c r="V17" s="19"/>
      <c r="W17" s="2"/>
      <c r="X17" s="2">
        <f t="shared" si="2"/>
        <v>460.55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"4146", " - ", "NON-TAXABLE SALES-COIN OP MACH")</f>
        <v xml:space="preserve">          4146 - NON-TAXABLE SALES-COIN OP MACH</v>
      </c>
      <c r="C18" s="11"/>
      <c r="D18" s="2">
        <f>--4759.35</f>
        <v>4759.3500000000004</v>
      </c>
      <c r="E18" s="2"/>
      <c r="F18" s="19"/>
      <c r="G18" s="2"/>
      <c r="H18" s="2"/>
      <c r="I18" s="2"/>
      <c r="J18" s="19"/>
      <c r="K18" s="2"/>
      <c r="L18" s="2">
        <f t="shared" si="0"/>
        <v>4759.3500000000004</v>
      </c>
      <c r="M18" s="2"/>
      <c r="N18" s="19">
        <f t="shared" si="1"/>
        <v>0</v>
      </c>
      <c r="O18" s="11"/>
      <c r="P18" s="2">
        <f>--7492.95</f>
        <v>7492.95</v>
      </c>
      <c r="Q18" s="2"/>
      <c r="R18" s="19"/>
      <c r="S18" s="2"/>
      <c r="T18" s="2"/>
      <c r="U18" s="2"/>
      <c r="V18" s="19"/>
      <c r="W18" s="2"/>
      <c r="X18" s="2">
        <f t="shared" si="2"/>
        <v>7492.95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>--1509200.13</f>
        <v>1509200.13</v>
      </c>
      <c r="E19" s="2"/>
      <c r="F19" s="19"/>
      <c r="G19" s="2"/>
      <c r="H19" s="2"/>
      <c r="I19" s="2"/>
      <c r="J19" s="19"/>
      <c r="K19" s="2"/>
      <c r="L19" s="2">
        <f t="shared" si="0"/>
        <v>1509200.13</v>
      </c>
      <c r="M19" s="2"/>
      <c r="N19" s="19">
        <f t="shared" si="1"/>
        <v>0</v>
      </c>
      <c r="O19" s="11"/>
      <c r="P19" s="2">
        <f>--2036563.48</f>
        <v>2036563.48</v>
      </c>
      <c r="Q19" s="2"/>
      <c r="R19" s="19"/>
      <c r="S19" s="2"/>
      <c r="T19" s="2"/>
      <c r="U19" s="2"/>
      <c r="V19" s="19"/>
      <c r="W19" s="2"/>
      <c r="X19" s="2">
        <f t="shared" si="2"/>
        <v>2036563.48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"4153", " - ", "NON-TAXABLE SALES-FOOD")</f>
        <v xml:space="preserve">          4153 - NON-TAXABLE SALES-FOOD</v>
      </c>
      <c r="C20" s="11"/>
      <c r="D20" s="2">
        <f>--13078.96</f>
        <v>13078.96</v>
      </c>
      <c r="E20" s="2"/>
      <c r="F20" s="19"/>
      <c r="G20" s="2"/>
      <c r="H20" s="2"/>
      <c r="I20" s="2"/>
      <c r="J20" s="19"/>
      <c r="K20" s="2"/>
      <c r="L20" s="2">
        <f t="shared" si="0"/>
        <v>13078.96</v>
      </c>
      <c r="M20" s="2"/>
      <c r="N20" s="19">
        <f t="shared" si="1"/>
        <v>0</v>
      </c>
      <c r="O20" s="11"/>
      <c r="P20" s="2">
        <f>--32277.33</f>
        <v>32277.33</v>
      </c>
      <c r="Q20" s="2"/>
      <c r="R20" s="19"/>
      <c r="S20" s="2"/>
      <c r="T20" s="2"/>
      <c r="U20" s="2"/>
      <c r="V20" s="19"/>
      <c r="W20" s="2"/>
      <c r="X20" s="2">
        <f t="shared" si="2"/>
        <v>32277.33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"4200", " - ", "TAXABLE RETURNS")</f>
        <v xml:space="preserve">          4200 - TAXABLE RETURNS</v>
      </c>
      <c r="C21" s="11"/>
      <c r="D21" s="2">
        <f>-43203.32</f>
        <v>-43203.32</v>
      </c>
      <c r="E21" s="2"/>
      <c r="F21" s="19"/>
      <c r="G21" s="2"/>
      <c r="H21" s="2"/>
      <c r="I21" s="2"/>
      <c r="J21" s="19"/>
      <c r="K21" s="2"/>
      <c r="L21" s="2">
        <f t="shared" si="0"/>
        <v>-43203.32</v>
      </c>
      <c r="M21" s="2"/>
      <c r="N21" s="19">
        <f t="shared" si="1"/>
        <v>0</v>
      </c>
      <c r="O21" s="11"/>
      <c r="P21" s="2">
        <f>-128627.07</f>
        <v>-128627.07</v>
      </c>
      <c r="Q21" s="2"/>
      <c r="R21" s="19"/>
      <c r="S21" s="2"/>
      <c r="T21" s="2"/>
      <c r="U21" s="2"/>
      <c r="V21" s="19"/>
      <c r="W21" s="2"/>
      <c r="X21" s="2">
        <f t="shared" si="2"/>
        <v>-128627.07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"4300", " - ", "NON-TAX RETURNS")</f>
        <v xml:space="preserve">          4300 - NON-TAX RETURNS</v>
      </c>
      <c r="C22" s="11"/>
      <c r="D22" s="2">
        <f>-2758.55</f>
        <v>-2758.55</v>
      </c>
      <c r="E22" s="2"/>
      <c r="F22" s="19"/>
      <c r="G22" s="2"/>
      <c r="H22" s="2"/>
      <c r="I22" s="2"/>
      <c r="J22" s="19"/>
      <c r="K22" s="2"/>
      <c r="L22" s="2">
        <f t="shared" si="0"/>
        <v>-2758.55</v>
      </c>
      <c r="M22" s="2"/>
      <c r="N22" s="19">
        <f t="shared" si="1"/>
        <v>0</v>
      </c>
      <c r="O22" s="11"/>
      <c r="P22" s="2">
        <f>-20796.04</f>
        <v>-20796.04</v>
      </c>
      <c r="Q22" s="2"/>
      <c r="R22" s="19"/>
      <c r="S22" s="2"/>
      <c r="T22" s="2"/>
      <c r="U22" s="2"/>
      <c r="V22" s="19"/>
      <c r="W22" s="2"/>
      <c r="X22" s="2">
        <f t="shared" si="2"/>
        <v>-20796.04</v>
      </c>
      <c r="Y22" s="2"/>
      <c r="Z22" s="19">
        <f t="shared" si="3"/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collapsed="1" x14ac:dyDescent="0.25">
      <c r="A24" s="10"/>
      <c r="B24" s="26" t="s">
        <v>257</v>
      </c>
      <c r="C24" s="10"/>
      <c r="D24" s="4">
        <f>SUM(OSRRefD16x_0)</f>
        <v>918591.82000000018</v>
      </c>
      <c r="E24" s="4"/>
      <c r="F24" s="12">
        <f t="shared" ref="F24:F59" si="4">IF(D$12=0,0,D24/D$12)</f>
        <v>0.39095618946615562</v>
      </c>
      <c r="G24" s="4"/>
      <c r="H24" s="4">
        <f>SUM(OSRRefH16x_0)</f>
        <v>1085215</v>
      </c>
      <c r="I24" s="4"/>
      <c r="J24" s="12">
        <f t="shared" ref="J24:J59" si="5">IF(H$12=0,0,H24/H$12)</f>
        <v>0.45494504849549922</v>
      </c>
      <c r="K24" s="4"/>
      <c r="L24" s="4">
        <f t="shared" ref="L24:L59" si="6">+D24-H24</f>
        <v>-166623.17999999982</v>
      </c>
      <c r="M24" s="4"/>
      <c r="N24" s="12">
        <f t="shared" ref="N24:N59" si="7">IF(H24=0,0,L24/H24)</f>
        <v>-0.1535393263086115</v>
      </c>
      <c r="O24" s="10"/>
      <c r="P24" s="4">
        <f>SUM(OSRRefP16x_0)</f>
        <v>2627295.06</v>
      </c>
      <c r="Q24" s="4"/>
      <c r="R24" s="12">
        <f t="shared" ref="R24:R59" si="8">IF(P$12=0,0,P24/P$12)</f>
        <v>0.49179235519972081</v>
      </c>
      <c r="S24" s="4"/>
      <c r="T24" s="4">
        <f>SUM(OSRRefT16x_0)</f>
        <v>3900304</v>
      </c>
      <c r="U24" s="4"/>
      <c r="V24" s="12">
        <f t="shared" ref="V24:V59" si="9">IF(T$12=0,0,T24/T$12)</f>
        <v>0.5839174423055935</v>
      </c>
      <c r="W24" s="4"/>
      <c r="X24" s="4">
        <f t="shared" ref="X24:X59" si="10">+P24-T24</f>
        <v>-1273008.94</v>
      </c>
      <c r="Y24" s="4"/>
      <c r="Z24" s="12">
        <f t="shared" ref="Z24:Z59" si="11">IF(T24=0,0,X24/T24)</f>
        <v>-0.3263871072613827</v>
      </c>
    </row>
    <row r="25" spans="1:26" s="24" customFormat="1" hidden="1" outlineLevel="1" x14ac:dyDescent="0.25">
      <c r="A25" s="44"/>
      <c r="B25" s="11" t="str">
        <f>CONCATENATE("          ", "5000", " - ", "PURCHASES @ COST")</f>
        <v xml:space="preserve">          5000 - PURCHASES @ COST</v>
      </c>
      <c r="C25" s="11"/>
      <c r="D25" s="2">
        <v>895370.31</v>
      </c>
      <c r="E25" s="2"/>
      <c r="F25" s="19">
        <f t="shared" si="4"/>
        <v>0.38107302605713428</v>
      </c>
      <c r="G25" s="2"/>
      <c r="H25" s="2">
        <v>1085215</v>
      </c>
      <c r="I25" s="2"/>
      <c r="J25" s="19">
        <f t="shared" si="5"/>
        <v>0.45494504849549922</v>
      </c>
      <c r="K25" s="2"/>
      <c r="L25" s="2">
        <f t="shared" si="6"/>
        <v>-189844.68999999994</v>
      </c>
      <c r="M25" s="2"/>
      <c r="N25" s="19">
        <f t="shared" si="7"/>
        <v>-0.17493739950148121</v>
      </c>
      <c r="O25" s="11"/>
      <c r="P25" s="2">
        <v>2123460.8199999998</v>
      </c>
      <c r="Q25" s="2"/>
      <c r="R25" s="19">
        <f t="shared" si="8"/>
        <v>0.39748173463323538</v>
      </c>
      <c r="S25" s="2"/>
      <c r="T25" s="2">
        <v>3900304</v>
      </c>
      <c r="U25" s="2"/>
      <c r="V25" s="19">
        <f t="shared" si="9"/>
        <v>0.5839174423055935</v>
      </c>
      <c r="W25" s="2"/>
      <c r="X25" s="2">
        <f t="shared" si="10"/>
        <v>-1776843.1800000002</v>
      </c>
      <c r="Y25" s="2"/>
      <c r="Z25" s="19">
        <f t="shared" si="11"/>
        <v>-0.4555653046531758</v>
      </c>
    </row>
    <row r="26" spans="1:26" s="24" customFormat="1" hidden="1" outlineLevel="1" x14ac:dyDescent="0.25">
      <c r="A26" s="44"/>
      <c r="B26" s="11" t="str">
        <f>CONCATENATE("          ", "5001", " - ", "PURCHASES @ COST-NEW TEXT")</f>
        <v xml:space="preserve">          5001 - PURCHASES @ COST-NEW TEXT</v>
      </c>
      <c r="C26" s="11"/>
      <c r="D26" s="2">
        <v>0</v>
      </c>
      <c r="E26" s="2"/>
      <c r="F26" s="19">
        <f t="shared" si="4"/>
        <v>0</v>
      </c>
      <c r="G26" s="2"/>
      <c r="H26" s="2"/>
      <c r="I26" s="2"/>
      <c r="J26" s="19">
        <f t="shared" si="5"/>
        <v>0</v>
      </c>
      <c r="K26" s="2"/>
      <c r="L26" s="2">
        <f t="shared" si="6"/>
        <v>0</v>
      </c>
      <c r="M26" s="2"/>
      <c r="N26" s="19">
        <f t="shared" si="7"/>
        <v>0</v>
      </c>
      <c r="O26" s="11"/>
      <c r="P26" s="2">
        <v>0</v>
      </c>
      <c r="Q26" s="2"/>
      <c r="R26" s="19">
        <f t="shared" si="8"/>
        <v>0</v>
      </c>
      <c r="S26" s="2"/>
      <c r="T26" s="2"/>
      <c r="U26" s="2"/>
      <c r="V26" s="19">
        <f t="shared" si="9"/>
        <v>0</v>
      </c>
      <c r="W26" s="2"/>
      <c r="X26" s="2">
        <f t="shared" si="10"/>
        <v>0</v>
      </c>
      <c r="Y26" s="2"/>
      <c r="Z26" s="19">
        <f t="shared" si="11"/>
        <v>0</v>
      </c>
    </row>
    <row r="27" spans="1:26" s="24" customFormat="1" hidden="1" outlineLevel="1" x14ac:dyDescent="0.25">
      <c r="A27" s="44"/>
      <c r="B27" s="11" t="str">
        <f>CONCATENATE("          ", "5002", " - ", "PURCHASES @ COST-USED TEXT")</f>
        <v xml:space="preserve">          5002 - PURCHASES @ COST-USED TEXT</v>
      </c>
      <c r="C27" s="11"/>
      <c r="D27" s="2">
        <v>0</v>
      </c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25">
      <c r="A28" s="44"/>
      <c r="B28" s="11" t="str">
        <f>CONCATENATE("          ", "5004", " - ", "PURCHASES @ COST-DIGITAL TEXT")</f>
        <v xml:space="preserve">          5004 - PURCHASES @ COST-DIGITAL TEXT</v>
      </c>
      <c r="C28" s="11"/>
      <c r="D28" s="2">
        <v>0</v>
      </c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25">
      <c r="A29" s="44"/>
      <c r="B29" s="11" t="str">
        <f>CONCATENATE("          ", "5026", " - ", "PURCHASES @ COST-WRITING INSTR")</f>
        <v xml:space="preserve">          5026 - PURCHASES @ COST-WRITING INSTR</v>
      </c>
      <c r="C29" s="11"/>
      <c r="D29" s="2"/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s="24" customFormat="1" hidden="1" outlineLevel="1" x14ac:dyDescent="0.25">
      <c r="A30" s="44"/>
      <c r="B30" s="11" t="str">
        <f>CONCATENATE("          ", "5027", " - ", "PURCHASES @ COST-SCHOOL SUPPLI")</f>
        <v xml:space="preserve">          5027 - PURCHASES @ COST-SCHOOL SUPPLI</v>
      </c>
      <c r="C30" s="11"/>
      <c r="D30" s="2">
        <v>0</v>
      </c>
      <c r="E30" s="2"/>
      <c r="F30" s="19">
        <f t="shared" si="4"/>
        <v>0</v>
      </c>
      <c r="G30" s="2"/>
      <c r="H30" s="2"/>
      <c r="I30" s="2"/>
      <c r="J30" s="19">
        <f t="shared" si="5"/>
        <v>0</v>
      </c>
      <c r="K30" s="2"/>
      <c r="L30" s="2">
        <f t="shared" si="6"/>
        <v>0</v>
      </c>
      <c r="M30" s="2"/>
      <c r="N30" s="19">
        <f t="shared" si="7"/>
        <v>0</v>
      </c>
      <c r="O30" s="11"/>
      <c r="P30" s="2">
        <v>0</v>
      </c>
      <c r="Q30" s="2"/>
      <c r="R30" s="19">
        <f t="shared" si="8"/>
        <v>0</v>
      </c>
      <c r="S30" s="2"/>
      <c r="T30" s="2"/>
      <c r="U30" s="2"/>
      <c r="V30" s="19">
        <f t="shared" si="9"/>
        <v>0</v>
      </c>
      <c r="W30" s="2"/>
      <c r="X30" s="2">
        <f t="shared" si="10"/>
        <v>0</v>
      </c>
      <c r="Y30" s="2"/>
      <c r="Z30" s="19">
        <f t="shared" si="11"/>
        <v>0</v>
      </c>
    </row>
    <row r="31" spans="1:26" s="24" customFormat="1" hidden="1" outlineLevel="1" x14ac:dyDescent="0.25">
      <c r="A31" s="44"/>
      <c r="B31" s="11" t="str">
        <f>CONCATENATE("          ", "5028", " - ", "PURCHASES @ COST-ART/TECH")</f>
        <v xml:space="preserve">          5028 - PURCHASES @ COST-ART/TECH</v>
      </c>
      <c r="C31" s="11"/>
      <c r="D31" s="2">
        <v>0</v>
      </c>
      <c r="E31" s="2"/>
      <c r="F31" s="19">
        <f t="shared" si="4"/>
        <v>0</v>
      </c>
      <c r="G31" s="2"/>
      <c r="H31" s="2"/>
      <c r="I31" s="2"/>
      <c r="J31" s="19">
        <f t="shared" si="5"/>
        <v>0</v>
      </c>
      <c r="K31" s="2"/>
      <c r="L31" s="2">
        <f t="shared" si="6"/>
        <v>0</v>
      </c>
      <c r="M31" s="2"/>
      <c r="N31" s="19">
        <f t="shared" si="7"/>
        <v>0</v>
      </c>
      <c r="O31" s="11"/>
      <c r="P31" s="2">
        <v>0</v>
      </c>
      <c r="Q31" s="2"/>
      <c r="R31" s="19">
        <f t="shared" si="8"/>
        <v>0</v>
      </c>
      <c r="S31" s="2"/>
      <c r="T31" s="2"/>
      <c r="U31" s="2"/>
      <c r="V31" s="19">
        <f t="shared" si="9"/>
        <v>0</v>
      </c>
      <c r="W31" s="2"/>
      <c r="X31" s="2">
        <f t="shared" si="10"/>
        <v>0</v>
      </c>
      <c r="Y31" s="2"/>
      <c r="Z31" s="19">
        <f t="shared" si="11"/>
        <v>0</v>
      </c>
    </row>
    <row r="32" spans="1:26" s="24" customFormat="1" hidden="1" outlineLevel="1" x14ac:dyDescent="0.25">
      <c r="A32" s="44"/>
      <c r="B32" s="11" t="str">
        <f>CONCATENATE("          ", "5031", " - ", "PURCHASES @ COST-FOOD")</f>
        <v xml:space="preserve">          5031 - PURCHASES @ COST-FOOD</v>
      </c>
      <c r="C32" s="11"/>
      <c r="D32" s="2">
        <v>0</v>
      </c>
      <c r="E32" s="2"/>
      <c r="F32" s="19">
        <f t="shared" si="4"/>
        <v>0</v>
      </c>
      <c r="G32" s="2"/>
      <c r="H32" s="2"/>
      <c r="I32" s="2"/>
      <c r="J32" s="19">
        <f t="shared" si="5"/>
        <v>0</v>
      </c>
      <c r="K32" s="2"/>
      <c r="L32" s="2">
        <f t="shared" si="6"/>
        <v>0</v>
      </c>
      <c r="M32" s="2"/>
      <c r="N32" s="19">
        <f t="shared" si="7"/>
        <v>0</v>
      </c>
      <c r="O32" s="11"/>
      <c r="P32" s="2">
        <v>0</v>
      </c>
      <c r="Q32" s="2"/>
      <c r="R32" s="19">
        <f t="shared" si="8"/>
        <v>0</v>
      </c>
      <c r="S32" s="2"/>
      <c r="T32" s="2"/>
      <c r="U32" s="2"/>
      <c r="V32" s="19">
        <f t="shared" si="9"/>
        <v>0</v>
      </c>
      <c r="W32" s="2"/>
      <c r="X32" s="2">
        <f t="shared" si="10"/>
        <v>0</v>
      </c>
      <c r="Y32" s="2"/>
      <c r="Z32" s="19">
        <f t="shared" si="11"/>
        <v>0</v>
      </c>
    </row>
    <row r="33" spans="1:26" s="24" customFormat="1" hidden="1" outlineLevel="1" x14ac:dyDescent="0.25">
      <c r="A33" s="44"/>
      <c r="B33" s="11" t="str">
        <f>CONCATENATE("          ", "5040", " - ", "PURCHASES @ COST-LOGO CLOTHING")</f>
        <v xml:space="preserve">          5040 - PURCHASES @ COST-LOGO CLOTHING</v>
      </c>
      <c r="C33" s="11"/>
      <c r="D33" s="2">
        <v>0</v>
      </c>
      <c r="E33" s="2"/>
      <c r="F33" s="19">
        <f t="shared" si="4"/>
        <v>0</v>
      </c>
      <c r="G33" s="2"/>
      <c r="H33" s="2"/>
      <c r="I33" s="2"/>
      <c r="J33" s="19">
        <f t="shared" si="5"/>
        <v>0</v>
      </c>
      <c r="K33" s="2"/>
      <c r="L33" s="2">
        <f t="shared" si="6"/>
        <v>0</v>
      </c>
      <c r="M33" s="2"/>
      <c r="N33" s="19">
        <f t="shared" si="7"/>
        <v>0</v>
      </c>
      <c r="O33" s="11"/>
      <c r="P33" s="2">
        <v>0</v>
      </c>
      <c r="Q33" s="2"/>
      <c r="R33" s="19">
        <f t="shared" si="8"/>
        <v>0</v>
      </c>
      <c r="S33" s="2"/>
      <c r="T33" s="2"/>
      <c r="U33" s="2"/>
      <c r="V33" s="19">
        <f t="shared" si="9"/>
        <v>0</v>
      </c>
      <c r="W33" s="2"/>
      <c r="X33" s="2">
        <f t="shared" si="10"/>
        <v>0</v>
      </c>
      <c r="Y33" s="2"/>
      <c r="Z33" s="19">
        <f t="shared" si="11"/>
        <v>0</v>
      </c>
    </row>
    <row r="34" spans="1:26" s="24" customFormat="1" hidden="1" outlineLevel="1" x14ac:dyDescent="0.25">
      <c r="A34" s="44"/>
      <c r="B34" s="11" t="str">
        <f>CONCATENATE("          ", "5041", " - ", "PURCHASES @ COST-LOGO GIFTS")</f>
        <v xml:space="preserve">          5041 - PURCHASES @ COST-LOGO GIFTS</v>
      </c>
      <c r="C34" s="11"/>
      <c r="D34" s="2">
        <v>0</v>
      </c>
      <c r="E34" s="2"/>
      <c r="F34" s="19">
        <f t="shared" si="4"/>
        <v>0</v>
      </c>
      <c r="G34" s="2"/>
      <c r="H34" s="2"/>
      <c r="I34" s="2"/>
      <c r="J34" s="19">
        <f t="shared" si="5"/>
        <v>0</v>
      </c>
      <c r="K34" s="2"/>
      <c r="L34" s="2">
        <f t="shared" si="6"/>
        <v>0</v>
      </c>
      <c r="M34" s="2"/>
      <c r="N34" s="19">
        <f t="shared" si="7"/>
        <v>0</v>
      </c>
      <c r="O34" s="11"/>
      <c r="P34" s="2">
        <v>0</v>
      </c>
      <c r="Q34" s="2"/>
      <c r="R34" s="19">
        <f t="shared" si="8"/>
        <v>0</v>
      </c>
      <c r="S34" s="2"/>
      <c r="T34" s="2"/>
      <c r="U34" s="2"/>
      <c r="V34" s="19">
        <f t="shared" si="9"/>
        <v>0</v>
      </c>
      <c r="W34" s="2"/>
      <c r="X34" s="2">
        <f t="shared" si="10"/>
        <v>0</v>
      </c>
      <c r="Y34" s="2"/>
      <c r="Z34" s="19">
        <f t="shared" si="11"/>
        <v>0</v>
      </c>
    </row>
    <row r="35" spans="1:26" s="24" customFormat="1" hidden="1" outlineLevel="1" x14ac:dyDescent="0.25">
      <c r="A35" s="44"/>
      <c r="B35" s="11" t="str">
        <f>CONCATENATE("          ", "5042", " - ", "PURCHASES @ COST-EVERYDAY GIFT")</f>
        <v xml:space="preserve">          5042 - PURCHASES @ COST-EVERYDAY GIFT</v>
      </c>
      <c r="C35" s="11"/>
      <c r="D35" s="2"/>
      <c r="E35" s="2"/>
      <c r="F35" s="19">
        <f t="shared" si="4"/>
        <v>0</v>
      </c>
      <c r="G35" s="2"/>
      <c r="H35" s="2"/>
      <c r="I35" s="2"/>
      <c r="J35" s="19">
        <f t="shared" si="5"/>
        <v>0</v>
      </c>
      <c r="K35" s="2"/>
      <c r="L35" s="2">
        <f t="shared" si="6"/>
        <v>0</v>
      </c>
      <c r="M35" s="2"/>
      <c r="N35" s="19">
        <f t="shared" si="7"/>
        <v>0</v>
      </c>
      <c r="O35" s="11"/>
      <c r="P35" s="2">
        <v>0</v>
      </c>
      <c r="Q35" s="2"/>
      <c r="R35" s="19">
        <f t="shared" si="8"/>
        <v>0</v>
      </c>
      <c r="S35" s="2"/>
      <c r="T35" s="2"/>
      <c r="U35" s="2"/>
      <c r="V35" s="19">
        <f t="shared" si="9"/>
        <v>0</v>
      </c>
      <c r="W35" s="2"/>
      <c r="X35" s="2">
        <f t="shared" si="10"/>
        <v>0</v>
      </c>
      <c r="Y35" s="2"/>
      <c r="Z35" s="19">
        <f t="shared" si="11"/>
        <v>0</v>
      </c>
    </row>
    <row r="36" spans="1:26" s="24" customFormat="1" hidden="1" outlineLevel="1" x14ac:dyDescent="0.25">
      <c r="A36" s="44"/>
      <c r="B36" s="11" t="str">
        <f>CONCATENATE("          ", "5043", " - ", "PURCHASES @ COST-CARDS")</f>
        <v xml:space="preserve">          5043 - PURCHASES @ COST-CARDS</v>
      </c>
      <c r="C36" s="11"/>
      <c r="D36" s="2"/>
      <c r="E36" s="2"/>
      <c r="F36" s="19">
        <f t="shared" si="4"/>
        <v>0</v>
      </c>
      <c r="G36" s="2"/>
      <c r="H36" s="2"/>
      <c r="I36" s="2"/>
      <c r="J36" s="19">
        <f t="shared" si="5"/>
        <v>0</v>
      </c>
      <c r="K36" s="2"/>
      <c r="L36" s="2">
        <f t="shared" si="6"/>
        <v>0</v>
      </c>
      <c r="M36" s="2"/>
      <c r="N36" s="19">
        <f t="shared" si="7"/>
        <v>0</v>
      </c>
      <c r="O36" s="11"/>
      <c r="P36" s="2">
        <v>0</v>
      </c>
      <c r="Q36" s="2"/>
      <c r="R36" s="19">
        <f t="shared" si="8"/>
        <v>0</v>
      </c>
      <c r="S36" s="2"/>
      <c r="T36" s="2"/>
      <c r="U36" s="2"/>
      <c r="V36" s="19">
        <f t="shared" si="9"/>
        <v>0</v>
      </c>
      <c r="W36" s="2"/>
      <c r="X36" s="2">
        <f t="shared" si="10"/>
        <v>0</v>
      </c>
      <c r="Y36" s="2"/>
      <c r="Z36" s="19">
        <f t="shared" si="11"/>
        <v>0</v>
      </c>
    </row>
    <row r="37" spans="1:26" s="24" customFormat="1" hidden="1" outlineLevel="1" x14ac:dyDescent="0.25">
      <c r="A37" s="44"/>
      <c r="B37" s="11" t="str">
        <f>CONCATENATE("          ", "5044", " - ", "PURCHASES @ COST-ACCESSORIES")</f>
        <v xml:space="preserve">          5044 - PURCHASES @ COST-ACCESSORIES</v>
      </c>
      <c r="C37" s="11"/>
      <c r="D37" s="2"/>
      <c r="E37" s="2"/>
      <c r="F37" s="19">
        <f t="shared" si="4"/>
        <v>0</v>
      </c>
      <c r="G37" s="2"/>
      <c r="H37" s="2"/>
      <c r="I37" s="2"/>
      <c r="J37" s="19">
        <f t="shared" si="5"/>
        <v>0</v>
      </c>
      <c r="K37" s="2"/>
      <c r="L37" s="2">
        <f t="shared" si="6"/>
        <v>0</v>
      </c>
      <c r="M37" s="2"/>
      <c r="N37" s="19">
        <f t="shared" si="7"/>
        <v>0</v>
      </c>
      <c r="O37" s="11"/>
      <c r="P37" s="2">
        <v>0</v>
      </c>
      <c r="Q37" s="2"/>
      <c r="R37" s="19">
        <f t="shared" si="8"/>
        <v>0</v>
      </c>
      <c r="S37" s="2"/>
      <c r="T37" s="2"/>
      <c r="U37" s="2"/>
      <c r="V37" s="19">
        <f t="shared" si="9"/>
        <v>0</v>
      </c>
      <c r="W37" s="2"/>
      <c r="X37" s="2">
        <f t="shared" si="10"/>
        <v>0</v>
      </c>
      <c r="Y37" s="2"/>
      <c r="Z37" s="19">
        <f t="shared" si="11"/>
        <v>0</v>
      </c>
    </row>
    <row r="38" spans="1:26" s="24" customFormat="1" hidden="1" outlineLevel="1" x14ac:dyDescent="0.25">
      <c r="A38" s="44"/>
      <c r="B38" s="11" t="str">
        <f>CONCATENATE("          ", "5045", " - ", "PURCHASES @ COST-SPECIAL ORDER")</f>
        <v xml:space="preserve">          5045 - PURCHASES @ COST-SPECIAL ORDER</v>
      </c>
      <c r="C38" s="11"/>
      <c r="D38" s="2">
        <v>0</v>
      </c>
      <c r="E38" s="2"/>
      <c r="F38" s="19">
        <f t="shared" si="4"/>
        <v>0</v>
      </c>
      <c r="G38" s="2"/>
      <c r="H38" s="2"/>
      <c r="I38" s="2"/>
      <c r="J38" s="19">
        <f t="shared" si="5"/>
        <v>0</v>
      </c>
      <c r="K38" s="2"/>
      <c r="L38" s="2">
        <f t="shared" si="6"/>
        <v>0</v>
      </c>
      <c r="M38" s="2"/>
      <c r="N38" s="19">
        <f t="shared" si="7"/>
        <v>0</v>
      </c>
      <c r="O38" s="11"/>
      <c r="P38" s="2">
        <v>0</v>
      </c>
      <c r="Q38" s="2"/>
      <c r="R38" s="19">
        <f t="shared" si="8"/>
        <v>0</v>
      </c>
      <c r="S38" s="2"/>
      <c r="T38" s="2"/>
      <c r="U38" s="2"/>
      <c r="V38" s="19">
        <f t="shared" si="9"/>
        <v>0</v>
      </c>
      <c r="W38" s="2"/>
      <c r="X38" s="2">
        <f t="shared" si="10"/>
        <v>0</v>
      </c>
      <c r="Y38" s="2"/>
      <c r="Z38" s="19">
        <f t="shared" si="11"/>
        <v>0</v>
      </c>
    </row>
    <row r="39" spans="1:26" s="24" customFormat="1" hidden="1" outlineLevel="1" x14ac:dyDescent="0.25">
      <c r="A39" s="44"/>
      <c r="B39" s="11" t="str">
        <f>CONCATENATE("          ", "5053", " - ", "PURCHASES @ COST-FOOD")</f>
        <v xml:space="preserve">          5053 - PURCHASES @ COST-FOOD</v>
      </c>
      <c r="C39" s="11"/>
      <c r="D39" s="2">
        <v>418312.58</v>
      </c>
      <c r="E39" s="2"/>
      <c r="F39" s="19">
        <f t="shared" si="4"/>
        <v>0.17803543284606688</v>
      </c>
      <c r="G39" s="2"/>
      <c r="H39" s="2"/>
      <c r="I39" s="2"/>
      <c r="J39" s="19">
        <f t="shared" si="5"/>
        <v>0</v>
      </c>
      <c r="K39" s="2"/>
      <c r="L39" s="2">
        <f t="shared" si="6"/>
        <v>418312.58</v>
      </c>
      <c r="M39" s="2"/>
      <c r="N39" s="19">
        <f t="shared" si="7"/>
        <v>0</v>
      </c>
      <c r="O39" s="11"/>
      <c r="P39" s="2">
        <v>716267.81</v>
      </c>
      <c r="Q39" s="2"/>
      <c r="R39" s="19">
        <f t="shared" si="8"/>
        <v>0.13407517054199697</v>
      </c>
      <c r="S39" s="2"/>
      <c r="T39" s="2"/>
      <c r="U39" s="2"/>
      <c r="V39" s="19">
        <f t="shared" si="9"/>
        <v>0</v>
      </c>
      <c r="W39" s="2"/>
      <c r="X39" s="2">
        <f t="shared" si="10"/>
        <v>716267.81</v>
      </c>
      <c r="Y39" s="2"/>
      <c r="Z39" s="19">
        <f t="shared" si="11"/>
        <v>0</v>
      </c>
    </row>
    <row r="40" spans="1:26" s="24" customFormat="1" hidden="1" outlineLevel="1" x14ac:dyDescent="0.25">
      <c r="A40" s="44"/>
      <c r="B40" s="11" t="str">
        <f>CONCATENATE("          ", "5059", " - ", "PURCHASES @ COST-FOOD")</f>
        <v xml:space="preserve">          5059 - PURCHASES @ COST-FOOD</v>
      </c>
      <c r="C40" s="11"/>
      <c r="D40" s="2">
        <v>-2291</v>
      </c>
      <c r="E40" s="2"/>
      <c r="F40" s="19">
        <f t="shared" si="4"/>
        <v>-9.7505835624245199E-4</v>
      </c>
      <c r="G40" s="2"/>
      <c r="H40" s="2"/>
      <c r="I40" s="2"/>
      <c r="J40" s="19">
        <f t="shared" si="5"/>
        <v>0</v>
      </c>
      <c r="K40" s="2"/>
      <c r="L40" s="2">
        <f t="shared" si="6"/>
        <v>-2291</v>
      </c>
      <c r="M40" s="2"/>
      <c r="N40" s="19">
        <f t="shared" si="7"/>
        <v>0</v>
      </c>
      <c r="O40" s="11"/>
      <c r="P40" s="2">
        <v>-85467</v>
      </c>
      <c r="Q40" s="2"/>
      <c r="R40" s="19">
        <f t="shared" si="8"/>
        <v>-1.5998209665059295E-2</v>
      </c>
      <c r="S40" s="2"/>
      <c r="T40" s="2"/>
      <c r="U40" s="2"/>
      <c r="V40" s="19">
        <f t="shared" si="9"/>
        <v>0</v>
      </c>
      <c r="W40" s="2"/>
      <c r="X40" s="2">
        <f t="shared" si="10"/>
        <v>-85467</v>
      </c>
      <c r="Y40" s="2"/>
      <c r="Z40" s="19">
        <f t="shared" si="11"/>
        <v>0</v>
      </c>
    </row>
    <row r="41" spans="1:26" s="24" customFormat="1" hidden="1" outlineLevel="1" x14ac:dyDescent="0.25">
      <c r="A41" s="44"/>
      <c r="B41" s="11" t="str">
        <f>CONCATENATE("          ", "5081", " - ", "PURCHASES @ COST-ELECTRONICS")</f>
        <v xml:space="preserve">          5081 - PURCHASES @ COST-ELECTRONICS</v>
      </c>
      <c r="C41" s="11"/>
      <c r="D41" s="2">
        <v>0</v>
      </c>
      <c r="E41" s="2"/>
      <c r="F41" s="19">
        <f t="shared" si="4"/>
        <v>0</v>
      </c>
      <c r="G41" s="2"/>
      <c r="H41" s="2"/>
      <c r="I41" s="2"/>
      <c r="J41" s="19">
        <f t="shared" si="5"/>
        <v>0</v>
      </c>
      <c r="K41" s="2"/>
      <c r="L41" s="2">
        <f t="shared" si="6"/>
        <v>0</v>
      </c>
      <c r="M41" s="2"/>
      <c r="N41" s="19">
        <f t="shared" si="7"/>
        <v>0</v>
      </c>
      <c r="O41" s="11"/>
      <c r="P41" s="2">
        <v>0</v>
      </c>
      <c r="Q41" s="2"/>
      <c r="R41" s="19">
        <f t="shared" si="8"/>
        <v>0</v>
      </c>
      <c r="S41" s="2"/>
      <c r="T41" s="2"/>
      <c r="U41" s="2"/>
      <c r="V41" s="19">
        <f t="shared" si="9"/>
        <v>0</v>
      </c>
      <c r="W41" s="2"/>
      <c r="X41" s="2">
        <f t="shared" si="10"/>
        <v>0</v>
      </c>
      <c r="Y41" s="2"/>
      <c r="Z41" s="19">
        <f t="shared" si="11"/>
        <v>0</v>
      </c>
    </row>
    <row r="42" spans="1:26" s="24" customFormat="1" hidden="1" outlineLevel="1" x14ac:dyDescent="0.25">
      <c r="A42" s="44"/>
      <c r="B42" s="11" t="str">
        <f>CONCATENATE("          ", "5082", " - ", "PURCHASES @ COST-COMPUTER HARD")</f>
        <v xml:space="preserve">          5082 - PURCHASES @ COST-COMPUTER HARD</v>
      </c>
      <c r="C42" s="11"/>
      <c r="D42" s="2">
        <v>-22380.03</v>
      </c>
      <c r="E42" s="2"/>
      <c r="F42" s="19">
        <f t="shared" si="4"/>
        <v>-9.525026304869821E-3</v>
      </c>
      <c r="G42" s="2"/>
      <c r="H42" s="2"/>
      <c r="I42" s="2"/>
      <c r="J42" s="19">
        <f t="shared" si="5"/>
        <v>0</v>
      </c>
      <c r="K42" s="2"/>
      <c r="L42" s="2">
        <f t="shared" si="6"/>
        <v>-22380.03</v>
      </c>
      <c r="M42" s="2"/>
      <c r="N42" s="19">
        <f t="shared" si="7"/>
        <v>0</v>
      </c>
      <c r="O42" s="11"/>
      <c r="P42" s="2">
        <v>-56783.85</v>
      </c>
      <c r="Q42" s="2"/>
      <c r="R42" s="19">
        <f t="shared" si="8"/>
        <v>-1.0629130984933099E-2</v>
      </c>
      <c r="S42" s="2"/>
      <c r="T42" s="2"/>
      <c r="U42" s="2"/>
      <c r="V42" s="19">
        <f t="shared" si="9"/>
        <v>0</v>
      </c>
      <c r="W42" s="2"/>
      <c r="X42" s="2">
        <f t="shared" si="10"/>
        <v>-56783.85</v>
      </c>
      <c r="Y42" s="2"/>
      <c r="Z42" s="19">
        <f t="shared" si="11"/>
        <v>0</v>
      </c>
    </row>
    <row r="43" spans="1:26" s="24" customFormat="1" hidden="1" outlineLevel="1" x14ac:dyDescent="0.25">
      <c r="A43" s="44"/>
      <c r="B43" s="11" t="str">
        <f>CONCATENATE("          ", "5083", " - ", "PURCHASES @ COST-COMPUTER EQUI")</f>
        <v xml:space="preserve">          5083 - PURCHASES @ COST-COMPUTER EQUI</v>
      </c>
      <c r="C43" s="11"/>
      <c r="D43" s="2">
        <v>0</v>
      </c>
      <c r="E43" s="2"/>
      <c r="F43" s="19">
        <f t="shared" si="4"/>
        <v>0</v>
      </c>
      <c r="G43" s="2"/>
      <c r="H43" s="2"/>
      <c r="I43" s="2"/>
      <c r="J43" s="19">
        <f t="shared" si="5"/>
        <v>0</v>
      </c>
      <c r="K43" s="2"/>
      <c r="L43" s="2">
        <f t="shared" si="6"/>
        <v>0</v>
      </c>
      <c r="M43" s="2"/>
      <c r="N43" s="19">
        <f t="shared" si="7"/>
        <v>0</v>
      </c>
      <c r="O43" s="11"/>
      <c r="P43" s="2">
        <v>0</v>
      </c>
      <c r="Q43" s="2"/>
      <c r="R43" s="19">
        <f t="shared" si="8"/>
        <v>0</v>
      </c>
      <c r="S43" s="2"/>
      <c r="T43" s="2"/>
      <c r="U43" s="2"/>
      <c r="V43" s="19">
        <f t="shared" si="9"/>
        <v>0</v>
      </c>
      <c r="W43" s="2"/>
      <c r="X43" s="2">
        <f t="shared" si="10"/>
        <v>0</v>
      </c>
      <c r="Y43" s="2"/>
      <c r="Z43" s="19">
        <f t="shared" si="11"/>
        <v>0</v>
      </c>
    </row>
    <row r="44" spans="1:26" s="24" customFormat="1" hidden="1" outlineLevel="1" x14ac:dyDescent="0.25">
      <c r="A44" s="44"/>
      <c r="B44" s="11" t="str">
        <f>CONCATENATE("          ", "5085", " - ", "PURCHASES @ COST-SOFTWARE")</f>
        <v xml:space="preserve">          5085 - PURCHASES @ COST-SOFTWARE</v>
      </c>
      <c r="C44" s="11"/>
      <c r="D44" s="2">
        <v>0</v>
      </c>
      <c r="E44" s="2"/>
      <c r="F44" s="19">
        <f t="shared" si="4"/>
        <v>0</v>
      </c>
      <c r="G44" s="2"/>
      <c r="H44" s="2"/>
      <c r="I44" s="2"/>
      <c r="J44" s="19">
        <f t="shared" si="5"/>
        <v>0</v>
      </c>
      <c r="K44" s="2"/>
      <c r="L44" s="2">
        <f t="shared" si="6"/>
        <v>0</v>
      </c>
      <c r="M44" s="2"/>
      <c r="N44" s="19">
        <f t="shared" si="7"/>
        <v>0</v>
      </c>
      <c r="O44" s="11"/>
      <c r="P44" s="2">
        <v>0</v>
      </c>
      <c r="Q44" s="2"/>
      <c r="R44" s="19">
        <f t="shared" si="8"/>
        <v>0</v>
      </c>
      <c r="S44" s="2"/>
      <c r="T44" s="2"/>
      <c r="U44" s="2"/>
      <c r="V44" s="19">
        <f t="shared" si="9"/>
        <v>0</v>
      </c>
      <c r="W44" s="2"/>
      <c r="X44" s="2">
        <f t="shared" si="10"/>
        <v>0</v>
      </c>
      <c r="Y44" s="2"/>
      <c r="Z44" s="19">
        <f t="shared" si="11"/>
        <v>0</v>
      </c>
    </row>
    <row r="45" spans="1:26" s="24" customFormat="1" hidden="1" outlineLevel="1" x14ac:dyDescent="0.25">
      <c r="A45" s="44"/>
      <c r="B45" s="11" t="str">
        <f>CONCATENATE("          ", "5086", " - ", "PURCHASES @ COST-COMPUTER SUPP")</f>
        <v xml:space="preserve">          5086 - PURCHASES @ COST-COMPUTER SUPP</v>
      </c>
      <c r="C45" s="11"/>
      <c r="D45" s="2">
        <v>0</v>
      </c>
      <c r="E45" s="2"/>
      <c r="F45" s="19">
        <f t="shared" si="4"/>
        <v>0</v>
      </c>
      <c r="G45" s="2"/>
      <c r="H45" s="2"/>
      <c r="I45" s="2"/>
      <c r="J45" s="19">
        <f t="shared" si="5"/>
        <v>0</v>
      </c>
      <c r="K45" s="2"/>
      <c r="L45" s="2">
        <f t="shared" si="6"/>
        <v>0</v>
      </c>
      <c r="M45" s="2"/>
      <c r="N45" s="19">
        <f t="shared" si="7"/>
        <v>0</v>
      </c>
      <c r="O45" s="11"/>
      <c r="P45" s="2">
        <v>0</v>
      </c>
      <c r="Q45" s="2"/>
      <c r="R45" s="19">
        <f t="shared" si="8"/>
        <v>0</v>
      </c>
      <c r="S45" s="2"/>
      <c r="T45" s="2"/>
      <c r="U45" s="2"/>
      <c r="V45" s="19">
        <f t="shared" si="9"/>
        <v>0</v>
      </c>
      <c r="W45" s="2"/>
      <c r="X45" s="2">
        <f t="shared" si="10"/>
        <v>0</v>
      </c>
      <c r="Y45" s="2"/>
      <c r="Z45" s="19">
        <f t="shared" si="11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-866523.34</v>
      </c>
      <c r="E46" s="2"/>
      <c r="F46" s="19">
        <f t="shared" si="4"/>
        <v>-0.36879564537150555</v>
      </c>
      <c r="G46" s="2"/>
      <c r="H46" s="2"/>
      <c r="I46" s="2"/>
      <c r="J46" s="19">
        <f t="shared" si="5"/>
        <v>0</v>
      </c>
      <c r="K46" s="2"/>
      <c r="L46" s="2">
        <f t="shared" si="6"/>
        <v>-866523.34</v>
      </c>
      <c r="M46" s="2"/>
      <c r="N46" s="19">
        <f t="shared" si="7"/>
        <v>0</v>
      </c>
      <c r="O46" s="11"/>
      <c r="P46" s="2">
        <v>-1899863.51</v>
      </c>
      <c r="Q46" s="2"/>
      <c r="R46" s="19">
        <f t="shared" si="8"/>
        <v>-0.35562749093773588</v>
      </c>
      <c r="S46" s="2"/>
      <c r="T46" s="2"/>
      <c r="U46" s="2"/>
      <c r="V46" s="19">
        <f t="shared" si="9"/>
        <v>0</v>
      </c>
      <c r="W46" s="2"/>
      <c r="X46" s="2">
        <f t="shared" si="10"/>
        <v>-1899863.51</v>
      </c>
      <c r="Y46" s="2"/>
      <c r="Z46" s="19">
        <f t="shared" si="11"/>
        <v>0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478937.18</v>
      </c>
      <c r="E47" s="2"/>
      <c r="F47" s="19">
        <f t="shared" si="4"/>
        <v>0.20383749431435849</v>
      </c>
      <c r="G47" s="2"/>
      <c r="H47" s="2"/>
      <c r="I47" s="2"/>
      <c r="J47" s="19">
        <f t="shared" si="5"/>
        <v>0</v>
      </c>
      <c r="K47" s="2"/>
      <c r="L47" s="2">
        <f t="shared" si="6"/>
        <v>478937.18</v>
      </c>
      <c r="M47" s="2"/>
      <c r="N47" s="19">
        <f t="shared" si="7"/>
        <v>0</v>
      </c>
      <c r="O47" s="11"/>
      <c r="P47" s="2">
        <v>1802304.35</v>
      </c>
      <c r="Q47" s="2"/>
      <c r="R47" s="19">
        <f t="shared" si="8"/>
        <v>0.33736580050251452</v>
      </c>
      <c r="S47" s="2"/>
      <c r="T47" s="2"/>
      <c r="U47" s="2"/>
      <c r="V47" s="19">
        <f t="shared" si="9"/>
        <v>0</v>
      </c>
      <c r="W47" s="2"/>
      <c r="X47" s="2">
        <f t="shared" si="10"/>
        <v>1802304.35</v>
      </c>
      <c r="Y47" s="2"/>
      <c r="Z47" s="19">
        <f t="shared" si="11"/>
        <v>0</v>
      </c>
    </row>
    <row r="48" spans="1:26" s="24" customFormat="1" hidden="1" outlineLevel="1" x14ac:dyDescent="0.25">
      <c r="A48" s="44"/>
      <c r="B48" s="11" t="str">
        <f>CONCATENATE("          ", "5500", " - ", "FREIGHT-IN")</f>
        <v xml:space="preserve">          5500 - FREIGHT-IN</v>
      </c>
      <c r="C48" s="11"/>
      <c r="D48" s="2">
        <v>17166.12</v>
      </c>
      <c r="E48" s="2"/>
      <c r="F48" s="19">
        <f t="shared" si="4"/>
        <v>7.3059662812137403E-3</v>
      </c>
      <c r="G48" s="2"/>
      <c r="H48" s="2"/>
      <c r="I48" s="2"/>
      <c r="J48" s="19">
        <f t="shared" si="5"/>
        <v>0</v>
      </c>
      <c r="K48" s="2"/>
      <c r="L48" s="2">
        <f t="shared" si="6"/>
        <v>17166.12</v>
      </c>
      <c r="M48" s="2"/>
      <c r="N48" s="19">
        <f t="shared" si="7"/>
        <v>0</v>
      </c>
      <c r="O48" s="11"/>
      <c r="P48" s="2">
        <v>27376.44</v>
      </c>
      <c r="Q48" s="2"/>
      <c r="R48" s="19">
        <f t="shared" si="8"/>
        <v>5.1244811097021755E-3</v>
      </c>
      <c r="S48" s="2"/>
      <c r="T48" s="2"/>
      <c r="U48" s="2"/>
      <c r="V48" s="19">
        <f t="shared" si="9"/>
        <v>0</v>
      </c>
      <c r="W48" s="2"/>
      <c r="X48" s="2">
        <f t="shared" si="10"/>
        <v>27376.44</v>
      </c>
      <c r="Y48" s="2"/>
      <c r="Z48" s="19">
        <f t="shared" si="11"/>
        <v>0</v>
      </c>
    </row>
    <row r="49" spans="1:26" s="24" customFormat="1" hidden="1" outlineLevel="1" x14ac:dyDescent="0.25">
      <c r="A49" s="44"/>
      <c r="B49" s="11" t="str">
        <f>CONCATENATE("          ", "5501", " - ", "FREIGHT-IN-NEW TEXT")</f>
        <v xml:space="preserve">          5501 - FREIGHT-IN-NEW TEXT</v>
      </c>
      <c r="C49" s="11"/>
      <c r="D49" s="2">
        <v>0</v>
      </c>
      <c r="E49" s="2"/>
      <c r="F49" s="19">
        <f t="shared" si="4"/>
        <v>0</v>
      </c>
      <c r="G49" s="2"/>
      <c r="H49" s="2"/>
      <c r="I49" s="2"/>
      <c r="J49" s="19">
        <f t="shared" si="5"/>
        <v>0</v>
      </c>
      <c r="K49" s="2"/>
      <c r="L49" s="2">
        <f t="shared" si="6"/>
        <v>0</v>
      </c>
      <c r="M49" s="2"/>
      <c r="N49" s="19">
        <f t="shared" si="7"/>
        <v>0</v>
      </c>
      <c r="O49" s="11"/>
      <c r="P49" s="2">
        <v>0</v>
      </c>
      <c r="Q49" s="2"/>
      <c r="R49" s="19">
        <f t="shared" si="8"/>
        <v>0</v>
      </c>
      <c r="S49" s="2"/>
      <c r="T49" s="2"/>
      <c r="U49" s="2"/>
      <c r="V49" s="19">
        <f t="shared" si="9"/>
        <v>0</v>
      </c>
      <c r="W49" s="2"/>
      <c r="X49" s="2">
        <f t="shared" si="10"/>
        <v>0</v>
      </c>
      <c r="Y49" s="2"/>
      <c r="Z49" s="19">
        <f t="shared" si="11"/>
        <v>0</v>
      </c>
    </row>
    <row r="50" spans="1:26" s="24" customFormat="1" hidden="1" outlineLevel="1" x14ac:dyDescent="0.25">
      <c r="A50" s="44"/>
      <c r="B50" s="11" t="str">
        <f>CONCATENATE("          ", "5502", " - ", "FREIGHT-IN-USED TEXT")</f>
        <v xml:space="preserve">          5502 - FREIGHT-IN-USED TEXT</v>
      </c>
      <c r="C50" s="11"/>
      <c r="D50" s="2">
        <v>0</v>
      </c>
      <c r="E50" s="2"/>
      <c r="F50" s="19">
        <f t="shared" si="4"/>
        <v>0</v>
      </c>
      <c r="G50" s="2"/>
      <c r="H50" s="2"/>
      <c r="I50" s="2"/>
      <c r="J50" s="19">
        <f t="shared" si="5"/>
        <v>0</v>
      </c>
      <c r="K50" s="2"/>
      <c r="L50" s="2">
        <f t="shared" si="6"/>
        <v>0</v>
      </c>
      <c r="M50" s="2"/>
      <c r="N50" s="19">
        <f t="shared" si="7"/>
        <v>0</v>
      </c>
      <c r="O50" s="11"/>
      <c r="P50" s="2">
        <v>0</v>
      </c>
      <c r="Q50" s="2"/>
      <c r="R50" s="19">
        <f t="shared" si="8"/>
        <v>0</v>
      </c>
      <c r="S50" s="2"/>
      <c r="T50" s="2"/>
      <c r="U50" s="2"/>
      <c r="V50" s="19">
        <f t="shared" si="9"/>
        <v>0</v>
      </c>
      <c r="W50" s="2"/>
      <c r="X50" s="2">
        <f t="shared" si="10"/>
        <v>0</v>
      </c>
      <c r="Y50" s="2"/>
      <c r="Z50" s="19">
        <f t="shared" si="11"/>
        <v>0</v>
      </c>
    </row>
    <row r="51" spans="1:26" s="24" customFormat="1" hidden="1" outlineLevel="1" x14ac:dyDescent="0.25">
      <c r="A51" s="44"/>
      <c r="B51" s="11" t="str">
        <f>CONCATENATE("          ", "5518", " - ", "FREIGHT-IN-STUDY GUIDES")</f>
        <v xml:space="preserve">          5518 - FREIGHT-IN-STUDY GUIDES</v>
      </c>
      <c r="C51" s="11"/>
      <c r="D51" s="2"/>
      <c r="E51" s="2"/>
      <c r="F51" s="19">
        <f t="shared" si="4"/>
        <v>0</v>
      </c>
      <c r="G51" s="2"/>
      <c r="H51" s="2"/>
      <c r="I51" s="2"/>
      <c r="J51" s="19">
        <f t="shared" si="5"/>
        <v>0</v>
      </c>
      <c r="K51" s="2"/>
      <c r="L51" s="2">
        <f t="shared" si="6"/>
        <v>0</v>
      </c>
      <c r="M51" s="2"/>
      <c r="N51" s="19">
        <f t="shared" si="7"/>
        <v>0</v>
      </c>
      <c r="O51" s="11"/>
      <c r="P51" s="2">
        <v>0</v>
      </c>
      <c r="Q51" s="2"/>
      <c r="R51" s="19">
        <f t="shared" si="8"/>
        <v>0</v>
      </c>
      <c r="S51" s="2"/>
      <c r="T51" s="2"/>
      <c r="U51" s="2"/>
      <c r="V51" s="19">
        <f t="shared" si="9"/>
        <v>0</v>
      </c>
      <c r="W51" s="2"/>
      <c r="X51" s="2">
        <f t="shared" si="10"/>
        <v>0</v>
      </c>
      <c r="Y51" s="2"/>
      <c r="Z51" s="19">
        <f t="shared" si="11"/>
        <v>0</v>
      </c>
    </row>
    <row r="52" spans="1:26" s="24" customFormat="1" hidden="1" outlineLevel="1" x14ac:dyDescent="0.25">
      <c r="A52" s="44"/>
      <c r="B52" s="11" t="str">
        <f>CONCATENATE("          ", "5527", " - ", "FREIGHT-IN-SCHOOL SUPPLIES")</f>
        <v xml:space="preserve">          5527 - FREIGHT-IN-SCHOOL SUPPLIES</v>
      </c>
      <c r="C52" s="11"/>
      <c r="D52" s="2"/>
      <c r="E52" s="2"/>
      <c r="F52" s="19">
        <f t="shared" si="4"/>
        <v>0</v>
      </c>
      <c r="G52" s="2"/>
      <c r="H52" s="2"/>
      <c r="I52" s="2"/>
      <c r="J52" s="19">
        <f t="shared" si="5"/>
        <v>0</v>
      </c>
      <c r="K52" s="2"/>
      <c r="L52" s="2">
        <f t="shared" si="6"/>
        <v>0</v>
      </c>
      <c r="M52" s="2"/>
      <c r="N52" s="19">
        <f t="shared" si="7"/>
        <v>0</v>
      </c>
      <c r="O52" s="11"/>
      <c r="P52" s="2">
        <v>0</v>
      </c>
      <c r="Q52" s="2"/>
      <c r="R52" s="19">
        <f t="shared" si="8"/>
        <v>0</v>
      </c>
      <c r="S52" s="2"/>
      <c r="T52" s="2"/>
      <c r="U52" s="2"/>
      <c r="V52" s="19">
        <f t="shared" si="9"/>
        <v>0</v>
      </c>
      <c r="W52" s="2"/>
      <c r="X52" s="2">
        <f t="shared" si="10"/>
        <v>0</v>
      </c>
      <c r="Y52" s="2"/>
      <c r="Z52" s="19">
        <f t="shared" si="11"/>
        <v>0</v>
      </c>
    </row>
    <row r="53" spans="1:26" s="24" customFormat="1" hidden="1" outlineLevel="1" x14ac:dyDescent="0.25">
      <c r="A53" s="44"/>
      <c r="B53" s="11" t="str">
        <f>CONCATENATE("          ", "5528", " - ", "FREIGHT-IN-ART/TECH")</f>
        <v xml:space="preserve">          5528 - FREIGHT-IN-ART/TECH</v>
      </c>
      <c r="C53" s="11"/>
      <c r="D53" s="2">
        <v>0</v>
      </c>
      <c r="E53" s="2"/>
      <c r="F53" s="19">
        <f t="shared" si="4"/>
        <v>0</v>
      </c>
      <c r="G53" s="2"/>
      <c r="H53" s="2"/>
      <c r="I53" s="2"/>
      <c r="J53" s="19">
        <f t="shared" si="5"/>
        <v>0</v>
      </c>
      <c r="K53" s="2"/>
      <c r="L53" s="2">
        <f t="shared" si="6"/>
        <v>0</v>
      </c>
      <c r="M53" s="2"/>
      <c r="N53" s="19">
        <f t="shared" si="7"/>
        <v>0</v>
      </c>
      <c r="O53" s="11"/>
      <c r="P53" s="2">
        <v>0</v>
      </c>
      <c r="Q53" s="2"/>
      <c r="R53" s="19">
        <f t="shared" si="8"/>
        <v>0</v>
      </c>
      <c r="S53" s="2"/>
      <c r="T53" s="2"/>
      <c r="U53" s="2"/>
      <c r="V53" s="19">
        <f t="shared" si="9"/>
        <v>0</v>
      </c>
      <c r="W53" s="2"/>
      <c r="X53" s="2">
        <f t="shared" si="10"/>
        <v>0</v>
      </c>
      <c r="Y53" s="2"/>
      <c r="Z53" s="19">
        <f t="shared" si="11"/>
        <v>0</v>
      </c>
    </row>
    <row r="54" spans="1:26" s="24" customFormat="1" hidden="1" outlineLevel="1" x14ac:dyDescent="0.25">
      <c r="A54" s="44"/>
      <c r="B54" s="11" t="str">
        <f>CONCATENATE("          ", "5540", " - ", "FREIGHT-IN-LOGO CLOTHING")</f>
        <v xml:space="preserve">          5540 - FREIGHT-IN-LOGO CLOTHING</v>
      </c>
      <c r="C54" s="11"/>
      <c r="D54" s="2"/>
      <c r="E54" s="2"/>
      <c r="F54" s="19">
        <f t="shared" si="4"/>
        <v>0</v>
      </c>
      <c r="G54" s="2"/>
      <c r="H54" s="2"/>
      <c r="I54" s="2"/>
      <c r="J54" s="19">
        <f t="shared" si="5"/>
        <v>0</v>
      </c>
      <c r="K54" s="2"/>
      <c r="L54" s="2">
        <f t="shared" si="6"/>
        <v>0</v>
      </c>
      <c r="M54" s="2"/>
      <c r="N54" s="19">
        <f t="shared" si="7"/>
        <v>0</v>
      </c>
      <c r="O54" s="11"/>
      <c r="P54" s="2">
        <v>0</v>
      </c>
      <c r="Q54" s="2"/>
      <c r="R54" s="19">
        <f t="shared" si="8"/>
        <v>0</v>
      </c>
      <c r="S54" s="2"/>
      <c r="T54" s="2"/>
      <c r="U54" s="2"/>
      <c r="V54" s="19">
        <f t="shared" si="9"/>
        <v>0</v>
      </c>
      <c r="W54" s="2"/>
      <c r="X54" s="2">
        <f t="shared" si="10"/>
        <v>0</v>
      </c>
      <c r="Y54" s="2"/>
      <c r="Z54" s="19">
        <f t="shared" si="11"/>
        <v>0</v>
      </c>
    </row>
    <row r="55" spans="1:26" s="24" customFormat="1" hidden="1" outlineLevel="1" x14ac:dyDescent="0.25">
      <c r="A55" s="44"/>
      <c r="B55" s="11" t="str">
        <f>CONCATENATE("          ", "5541", " - ", "FREIGHT-IN-LOGO GIFTS")</f>
        <v xml:space="preserve">          5541 - FREIGHT-IN-LOGO GIFTS</v>
      </c>
      <c r="C55" s="11"/>
      <c r="D55" s="2">
        <v>0</v>
      </c>
      <c r="E55" s="2"/>
      <c r="F55" s="19">
        <f t="shared" si="4"/>
        <v>0</v>
      </c>
      <c r="G55" s="2"/>
      <c r="H55" s="2"/>
      <c r="I55" s="2"/>
      <c r="J55" s="19">
        <f t="shared" si="5"/>
        <v>0</v>
      </c>
      <c r="K55" s="2"/>
      <c r="L55" s="2">
        <f t="shared" si="6"/>
        <v>0</v>
      </c>
      <c r="M55" s="2"/>
      <c r="N55" s="19">
        <f t="shared" si="7"/>
        <v>0</v>
      </c>
      <c r="O55" s="11"/>
      <c r="P55" s="2">
        <v>0</v>
      </c>
      <c r="Q55" s="2"/>
      <c r="R55" s="19">
        <f t="shared" si="8"/>
        <v>0</v>
      </c>
      <c r="S55" s="2"/>
      <c r="T55" s="2"/>
      <c r="U55" s="2"/>
      <c r="V55" s="19">
        <f t="shared" si="9"/>
        <v>0</v>
      </c>
      <c r="W55" s="2"/>
      <c r="X55" s="2">
        <f t="shared" si="10"/>
        <v>0</v>
      </c>
      <c r="Y55" s="2"/>
      <c r="Z55" s="19">
        <f t="shared" si="11"/>
        <v>0</v>
      </c>
    </row>
    <row r="56" spans="1:26" s="24" customFormat="1" hidden="1" outlineLevel="1" x14ac:dyDescent="0.25">
      <c r="A56" s="44"/>
      <c r="B56" s="11" t="str">
        <f>CONCATENATE("          ", "5542", " - ", "FREIGHT-IN-EVERYDAY GIFTS")</f>
        <v xml:space="preserve">          5542 - FREIGHT-IN-EVERYDAY GIFTS</v>
      </c>
      <c r="C56" s="11"/>
      <c r="D56" s="2"/>
      <c r="E56" s="2"/>
      <c r="F56" s="19">
        <f t="shared" si="4"/>
        <v>0</v>
      </c>
      <c r="G56" s="2"/>
      <c r="H56" s="2"/>
      <c r="I56" s="2"/>
      <c r="J56" s="19">
        <f t="shared" si="5"/>
        <v>0</v>
      </c>
      <c r="K56" s="2"/>
      <c r="L56" s="2">
        <f t="shared" si="6"/>
        <v>0</v>
      </c>
      <c r="M56" s="2"/>
      <c r="N56" s="19">
        <f t="shared" si="7"/>
        <v>0</v>
      </c>
      <c r="O56" s="11"/>
      <c r="P56" s="2">
        <v>0</v>
      </c>
      <c r="Q56" s="2"/>
      <c r="R56" s="19">
        <f t="shared" si="8"/>
        <v>0</v>
      </c>
      <c r="S56" s="2"/>
      <c r="T56" s="2"/>
      <c r="U56" s="2"/>
      <c r="V56" s="19">
        <f t="shared" si="9"/>
        <v>0</v>
      </c>
      <c r="W56" s="2"/>
      <c r="X56" s="2">
        <f t="shared" si="10"/>
        <v>0</v>
      </c>
      <c r="Y56" s="2"/>
      <c r="Z56" s="19">
        <f t="shared" si="11"/>
        <v>0</v>
      </c>
    </row>
    <row r="57" spans="1:26" s="24" customFormat="1" hidden="1" outlineLevel="1" x14ac:dyDescent="0.25">
      <c r="A57" s="44"/>
      <c r="B57" s="11" t="str">
        <f>CONCATENATE("          ", "5544", " - ", "FREIGHT-IN-ACCESSORIES")</f>
        <v xml:space="preserve">          5544 - FREIGHT-IN-ACCESSORIES</v>
      </c>
      <c r="C57" s="11"/>
      <c r="D57" s="2"/>
      <c r="E57" s="2"/>
      <c r="F57" s="19">
        <f t="shared" si="4"/>
        <v>0</v>
      </c>
      <c r="G57" s="2"/>
      <c r="H57" s="2"/>
      <c r="I57" s="2"/>
      <c r="J57" s="19">
        <f t="shared" si="5"/>
        <v>0</v>
      </c>
      <c r="K57" s="2"/>
      <c r="L57" s="2">
        <f t="shared" si="6"/>
        <v>0</v>
      </c>
      <c r="M57" s="2"/>
      <c r="N57" s="19">
        <f t="shared" si="7"/>
        <v>0</v>
      </c>
      <c r="O57" s="11"/>
      <c r="P57" s="2">
        <v>0</v>
      </c>
      <c r="Q57" s="2"/>
      <c r="R57" s="19">
        <f t="shared" si="8"/>
        <v>0</v>
      </c>
      <c r="S57" s="2"/>
      <c r="T57" s="2"/>
      <c r="U57" s="2"/>
      <c r="V57" s="19">
        <f t="shared" si="9"/>
        <v>0</v>
      </c>
      <c r="W57" s="2"/>
      <c r="X57" s="2">
        <f t="shared" si="10"/>
        <v>0</v>
      </c>
      <c r="Y57" s="2"/>
      <c r="Z57" s="19">
        <f t="shared" si="11"/>
        <v>0</v>
      </c>
    </row>
    <row r="58" spans="1:26" s="24" customFormat="1" hidden="1" outlineLevel="1" x14ac:dyDescent="0.25">
      <c r="A58" s="44"/>
      <c r="B58" s="11" t="str">
        <f>CONCATENATE("          ", "5545", " - ", "FREIGHT-IN-SPECIAL ORDERS")</f>
        <v xml:space="preserve">          5545 - FREIGHT-IN-SPECIAL ORDERS</v>
      </c>
      <c r="C58" s="11"/>
      <c r="D58" s="2"/>
      <c r="E58" s="2"/>
      <c r="F58" s="19">
        <f t="shared" si="4"/>
        <v>0</v>
      </c>
      <c r="G58" s="2"/>
      <c r="H58" s="2"/>
      <c r="I58" s="2"/>
      <c r="J58" s="19">
        <f t="shared" si="5"/>
        <v>0</v>
      </c>
      <c r="K58" s="2"/>
      <c r="L58" s="2">
        <f t="shared" si="6"/>
        <v>0</v>
      </c>
      <c r="M58" s="2"/>
      <c r="N58" s="19">
        <f t="shared" si="7"/>
        <v>0</v>
      </c>
      <c r="O58" s="11"/>
      <c r="P58" s="2">
        <v>0</v>
      </c>
      <c r="Q58" s="2"/>
      <c r="R58" s="19">
        <f t="shared" si="8"/>
        <v>0</v>
      </c>
      <c r="S58" s="2"/>
      <c r="T58" s="2"/>
      <c r="U58" s="2"/>
      <c r="V58" s="19">
        <f t="shared" si="9"/>
        <v>0</v>
      </c>
      <c r="W58" s="2"/>
      <c r="X58" s="2">
        <f t="shared" si="10"/>
        <v>0</v>
      </c>
      <c r="Y58" s="2"/>
      <c r="Z58" s="19">
        <f t="shared" si="11"/>
        <v>0</v>
      </c>
    </row>
    <row r="59" spans="1:26" s="24" customFormat="1" hidden="1" outlineLevel="1" x14ac:dyDescent="0.25">
      <c r="A59" s="44"/>
      <c r="B59" s="11" t="str">
        <f>CONCATENATE("          ", "5583", " - ", "FREIGHT-IN-COMPUTER EQUIPMENT")</f>
        <v xml:space="preserve">          5583 - FREIGHT-IN-COMPUTER EQUIPMENT</v>
      </c>
      <c r="C59" s="11"/>
      <c r="D59" s="2"/>
      <c r="E59" s="2"/>
      <c r="F59" s="19">
        <f t="shared" si="4"/>
        <v>0</v>
      </c>
      <c r="G59" s="2"/>
      <c r="H59" s="2"/>
      <c r="I59" s="2"/>
      <c r="J59" s="19">
        <f t="shared" si="5"/>
        <v>0</v>
      </c>
      <c r="K59" s="2"/>
      <c r="L59" s="2">
        <f t="shared" si="6"/>
        <v>0</v>
      </c>
      <c r="M59" s="2"/>
      <c r="N59" s="19">
        <f t="shared" si="7"/>
        <v>0</v>
      </c>
      <c r="O59" s="11"/>
      <c r="P59" s="2">
        <v>0</v>
      </c>
      <c r="Q59" s="2"/>
      <c r="R59" s="19">
        <f t="shared" si="8"/>
        <v>0</v>
      </c>
      <c r="S59" s="2"/>
      <c r="T59" s="2"/>
      <c r="U59" s="2"/>
      <c r="V59" s="19">
        <f t="shared" si="9"/>
        <v>0</v>
      </c>
      <c r="W59" s="2"/>
      <c r="X59" s="2">
        <f t="shared" si="10"/>
        <v>0</v>
      </c>
      <c r="Y59" s="2"/>
      <c r="Z59" s="19">
        <f t="shared" si="11"/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5" t="s">
        <v>108</v>
      </c>
      <c r="C61" s="25"/>
      <c r="D61" s="21">
        <f>D12-D24</f>
        <v>1431011.1400000001</v>
      </c>
      <c r="E61" s="13"/>
      <c r="F61" s="20">
        <f>IF(D$12=0,0,D61/D$12)</f>
        <v>0.60904381053384438</v>
      </c>
      <c r="G61" s="13"/>
      <c r="H61" s="21">
        <f>H12-H24</f>
        <v>1300161</v>
      </c>
      <c r="I61" s="13"/>
      <c r="J61" s="20">
        <f>IF(H$12=0,0,H61/H$12)</f>
        <v>0.54505495150450078</v>
      </c>
      <c r="K61" s="16"/>
      <c r="L61" s="21">
        <f>+D61-H61</f>
        <v>130850.14000000013</v>
      </c>
      <c r="M61" s="16"/>
      <c r="N61" s="20">
        <f>IF(H61=0,0,L61/H61)</f>
        <v>0.10064148978472676</v>
      </c>
      <c r="O61" s="26"/>
      <c r="P61" s="21">
        <f>P12-P24</f>
        <v>2714990.22</v>
      </c>
      <c r="Q61" s="13"/>
      <c r="R61" s="20">
        <f>IF(P$12=0,0,P61/P$12)</f>
        <v>0.50820764480027925</v>
      </c>
      <c r="S61" s="13"/>
      <c r="T61" s="21">
        <f>T12-T24</f>
        <v>2779243</v>
      </c>
      <c r="U61" s="13"/>
      <c r="V61" s="20">
        <f>IF(T$12=0,0,T61/T$12)</f>
        <v>0.4160825576944065</v>
      </c>
      <c r="W61" s="16"/>
      <c r="X61" s="21">
        <f>+P61-T61</f>
        <v>-64252.779999999795</v>
      </c>
      <c r="Y61" s="16"/>
      <c r="Z61" s="20">
        <f>IF(T61=0,0,X61/T61)</f>
        <v>-2.3118806092162433E-2</v>
      </c>
    </row>
    <row r="62" spans="1:26" x14ac:dyDescent="0.25">
      <c r="A62" s="9"/>
      <c r="B62" s="10"/>
      <c r="C62" s="9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6" t="s">
        <v>295</v>
      </c>
      <c r="C63" s="10"/>
      <c r="D63" s="22">
        <f>SUM(OSRRefD22x_0)</f>
        <v>1014621.9200000003</v>
      </c>
      <c r="E63" s="22"/>
      <c r="F63" s="32">
        <f t="shared" ref="F63:F74" si="12">IF(D$12=0,0,D63/D$12)</f>
        <v>0.43182696705489343</v>
      </c>
      <c r="G63" s="22"/>
      <c r="H63" s="22">
        <f>SUM(OSRRefH22x_0)</f>
        <v>1136394.1301663958</v>
      </c>
      <c r="I63" s="22"/>
      <c r="J63" s="32">
        <f t="shared" ref="J63:J74" si="13">IF(H$12=0,0,H63/H$12)</f>
        <v>0.47640042080007339</v>
      </c>
      <c r="K63" s="4"/>
      <c r="L63" s="22">
        <f t="shared" ref="L63:L74" si="14">+D63-H63</f>
        <v>-121772.21016639553</v>
      </c>
      <c r="M63" s="4"/>
      <c r="N63" s="32">
        <f t="shared" ref="N63:N74" si="15">IF(H63=0,0,L63/H63)</f>
        <v>-0.10715666944580672</v>
      </c>
      <c r="O63" s="10"/>
      <c r="P63" s="22">
        <f>SUM(OSRRefP22x_0)</f>
        <v>2814561.6699999995</v>
      </c>
      <c r="Q63" s="22"/>
      <c r="R63" s="32">
        <f t="shared" ref="R63:R74" si="16">IF(P$12=0,0,P63/P$12)</f>
        <v>0.52684600737008924</v>
      </c>
      <c r="S63" s="22"/>
      <c r="T63" s="22">
        <f>SUM(OSRRefT22x_0)</f>
        <v>3274341.6214326145</v>
      </c>
      <c r="U63" s="22"/>
      <c r="V63" s="32">
        <f t="shared" ref="V63:V74" si="17">IF(T$12=0,0,T63/T$12)</f>
        <v>0.49020414429790143</v>
      </c>
      <c r="W63" s="4"/>
      <c r="X63" s="22">
        <f t="shared" ref="X63:X74" si="18">+P63-T63</f>
        <v>-459779.95143261505</v>
      </c>
      <c r="Y63" s="4"/>
      <c r="Z63" s="32">
        <f t="shared" ref="Z63:Z74" si="19">IF(T63=0,0,X63/T63)</f>
        <v>-0.14041905353524128</v>
      </c>
    </row>
    <row r="64" spans="1:26" s="28" customFormat="1" outlineLevel="1" collapsed="1" x14ac:dyDescent="0.25">
      <c r="A64" s="27"/>
      <c r="B64" s="14" t="str">
        <f>CONCATENATE("     ","*Benefits                                         ")</f>
        <v xml:space="preserve">     *Benefits                                         </v>
      </c>
      <c r="C64" s="14"/>
      <c r="D64" s="1">
        <f>SUM(OSRRefD22_0x_0)</f>
        <v>167059.87</v>
      </c>
      <c r="E64" s="1"/>
      <c r="F64" s="5">
        <f t="shared" si="12"/>
        <v>7.1101319177772904E-2</v>
      </c>
      <c r="G64" s="1"/>
      <c r="H64" s="1">
        <f>SUM(OSRRefH22_0x_0)</f>
        <v>192151.24210421875</v>
      </c>
      <c r="I64" s="1"/>
      <c r="J64" s="5">
        <f t="shared" si="13"/>
        <v>8.0553859057950927E-2</v>
      </c>
      <c r="K64" s="1"/>
      <c r="L64" s="1">
        <f t="shared" si="14"/>
        <v>-25091.372104218754</v>
      </c>
      <c r="M64" s="1"/>
      <c r="N64" s="5">
        <f t="shared" si="15"/>
        <v>-0.13058136824642397</v>
      </c>
      <c r="O64" s="14"/>
      <c r="P64" s="1">
        <f>SUM(OSRRefP22_0x_0)</f>
        <v>474711.49999999994</v>
      </c>
      <c r="Q64" s="1"/>
      <c r="R64" s="5">
        <f t="shared" si="16"/>
        <v>8.8859256875926315E-2</v>
      </c>
      <c r="S64" s="1"/>
      <c r="T64" s="1">
        <f>SUM(OSRRefT22_0x_0)</f>
        <v>601012.00133207859</v>
      </c>
      <c r="U64" s="1"/>
      <c r="V64" s="5">
        <f t="shared" si="17"/>
        <v>8.9977958285506282E-2</v>
      </c>
      <c r="W64" s="1"/>
      <c r="X64" s="1">
        <f t="shared" si="18"/>
        <v>-126300.50133207865</v>
      </c>
      <c r="Y64" s="1"/>
      <c r="Z64" s="5">
        <f t="shared" si="19"/>
        <v>-0.21014638817885026</v>
      </c>
    </row>
    <row r="65" spans="1:26" s="24" customFormat="1" hidden="1" outlineLevel="2" x14ac:dyDescent="0.25">
      <c r="A65" s="29"/>
      <c r="B65" s="11" t="str">
        <f>CONCATENATE("          ", "6111", " - ", "F.I.C.A.")</f>
        <v xml:space="preserve">          6111 - F.I.C.A.</v>
      </c>
      <c r="C65" s="11"/>
      <c r="D65" s="7">
        <v>27493</v>
      </c>
      <c r="E65" s="2"/>
      <c r="F65" s="6">
        <f t="shared" si="12"/>
        <v>1.1701125878731441E-2</v>
      </c>
      <c r="G65" s="2"/>
      <c r="H65" s="7">
        <v>25724.0278138627</v>
      </c>
      <c r="I65" s="2"/>
      <c r="J65" s="6">
        <f t="shared" si="13"/>
        <v>1.0784055768928127E-2</v>
      </c>
      <c r="K65" s="2"/>
      <c r="L65" s="7">
        <f t="shared" si="14"/>
        <v>1768.9721861373</v>
      </c>
      <c r="M65" s="2"/>
      <c r="N65" s="6">
        <f t="shared" si="15"/>
        <v>6.8767309650629424E-2</v>
      </c>
      <c r="O65" s="11"/>
      <c r="P65" s="7">
        <v>76755.509999999995</v>
      </c>
      <c r="Q65" s="2"/>
      <c r="R65" s="6">
        <f t="shared" si="16"/>
        <v>1.4367542348842889E-2</v>
      </c>
      <c r="S65" s="2"/>
      <c r="T65" s="7">
        <v>90302.203656997604</v>
      </c>
      <c r="U65" s="2"/>
      <c r="V65" s="6">
        <f t="shared" si="17"/>
        <v>1.3519210757405795E-2</v>
      </c>
      <c r="W65" s="2"/>
      <c r="X65" s="7">
        <f t="shared" si="18"/>
        <v>-13546.69365699761</v>
      </c>
      <c r="Y65" s="2"/>
      <c r="Z65" s="6">
        <f t="shared" si="19"/>
        <v>-0.15001509496327628</v>
      </c>
    </row>
    <row r="66" spans="1:26" s="24" customFormat="1" hidden="1" outlineLevel="2" x14ac:dyDescent="0.25">
      <c r="A66" s="29"/>
      <c r="B66" s="11" t="str">
        <f>CONCATENATE("          ", "6112", " - ", "COMPENSATION INSURANCE")</f>
        <v xml:space="preserve">          6112 - COMPENSATION INSURANCE</v>
      </c>
      <c r="C66" s="11"/>
      <c r="D66" s="7">
        <v>12742.74</v>
      </c>
      <c r="E66" s="2"/>
      <c r="F66" s="6">
        <f t="shared" si="12"/>
        <v>5.423358846977277E-3</v>
      </c>
      <c r="G66" s="2"/>
      <c r="H66" s="7">
        <v>17572.557126813801</v>
      </c>
      <c r="I66" s="2"/>
      <c r="J66" s="6">
        <f t="shared" si="13"/>
        <v>7.3667870921874795E-3</v>
      </c>
      <c r="K66" s="2"/>
      <c r="L66" s="7">
        <f t="shared" si="14"/>
        <v>-4829.8171268138012</v>
      </c>
      <c r="M66" s="2"/>
      <c r="N66" s="6">
        <f t="shared" si="15"/>
        <v>-0.27484998864758436</v>
      </c>
      <c r="O66" s="11"/>
      <c r="P66" s="7">
        <v>28161.24</v>
      </c>
      <c r="Q66" s="2"/>
      <c r="R66" s="6">
        <f t="shared" si="16"/>
        <v>5.2713845337739058E-3</v>
      </c>
      <c r="S66" s="2"/>
      <c r="T66" s="7">
        <v>44952.343546789998</v>
      </c>
      <c r="U66" s="2"/>
      <c r="V66" s="6">
        <f t="shared" si="17"/>
        <v>6.7298491270126552E-3</v>
      </c>
      <c r="W66" s="2"/>
      <c r="X66" s="7">
        <f t="shared" si="18"/>
        <v>-16791.103546789996</v>
      </c>
      <c r="Y66" s="2"/>
      <c r="Z66" s="6">
        <f t="shared" si="19"/>
        <v>-0.37353121599349925</v>
      </c>
    </row>
    <row r="67" spans="1:26" s="24" customFormat="1" hidden="1" outlineLevel="2" x14ac:dyDescent="0.25">
      <c r="A67" s="29"/>
      <c r="B67" s="11" t="str">
        <f>CONCATENATE("          ", "6113", " - ", "GROUP INSURANCE")</f>
        <v xml:space="preserve">          6113 - GROUP INSURANCE</v>
      </c>
      <c r="C67" s="11"/>
      <c r="D67" s="7">
        <v>76355.58</v>
      </c>
      <c r="E67" s="2"/>
      <c r="F67" s="6">
        <f t="shared" si="12"/>
        <v>3.2497226680374962E-2</v>
      </c>
      <c r="G67" s="2"/>
      <c r="H67" s="7">
        <v>95634.269230769205</v>
      </c>
      <c r="I67" s="2"/>
      <c r="J67" s="6">
        <f t="shared" si="13"/>
        <v>4.0091905523812262E-2</v>
      </c>
      <c r="K67" s="2"/>
      <c r="L67" s="7">
        <f t="shared" si="14"/>
        <v>-19278.689230769203</v>
      </c>
      <c r="M67" s="2"/>
      <c r="N67" s="6">
        <f t="shared" si="15"/>
        <v>-0.2015876671180388</v>
      </c>
      <c r="O67" s="11"/>
      <c r="P67" s="7">
        <v>222675.98</v>
      </c>
      <c r="Q67" s="2"/>
      <c r="R67" s="6">
        <f t="shared" si="16"/>
        <v>4.1681783792721756E-2</v>
      </c>
      <c r="S67" s="2"/>
      <c r="T67" s="7">
        <v>303535.08461538499</v>
      </c>
      <c r="U67" s="2"/>
      <c r="V67" s="6">
        <f t="shared" si="17"/>
        <v>4.5442465576690301E-2</v>
      </c>
      <c r="W67" s="2"/>
      <c r="X67" s="7">
        <f t="shared" si="18"/>
        <v>-80859.104615384975</v>
      </c>
      <c r="Y67" s="2"/>
      <c r="Z67" s="6">
        <f t="shared" si="19"/>
        <v>-0.26639129614239837</v>
      </c>
    </row>
    <row r="68" spans="1:26" s="24" customFormat="1" hidden="1" outlineLevel="2" x14ac:dyDescent="0.25">
      <c r="A68" s="29"/>
      <c r="B68" s="11" t="str">
        <f>CONCATENATE("          ", "6114", " - ", "STATE UNEMPLOYMENT INSURANCE")</f>
        <v xml:space="preserve">          6114 - STATE UNEMPLOYMENT INSURANCE</v>
      </c>
      <c r="C68" s="11"/>
      <c r="D68" s="7">
        <v>1261.27</v>
      </c>
      <c r="E68" s="2"/>
      <c r="F68" s="6">
        <f t="shared" si="12"/>
        <v>5.3680133259621007E-4</v>
      </c>
      <c r="G68" s="2"/>
      <c r="H68" s="7">
        <v>1226.4167701961501</v>
      </c>
      <c r="I68" s="2"/>
      <c r="J68" s="6">
        <f t="shared" si="13"/>
        <v>5.1413981284130896E-4</v>
      </c>
      <c r="K68" s="2"/>
      <c r="L68" s="7">
        <f t="shared" si="14"/>
        <v>34.853229803849899</v>
      </c>
      <c r="M68" s="2"/>
      <c r="N68" s="6">
        <f t="shared" si="15"/>
        <v>2.841874854522379E-2</v>
      </c>
      <c r="O68" s="11"/>
      <c r="P68" s="7">
        <v>3000.36</v>
      </c>
      <c r="Q68" s="2"/>
      <c r="R68" s="6">
        <f t="shared" si="16"/>
        <v>5.6162481835863318E-4</v>
      </c>
      <c r="S68" s="2"/>
      <c r="T68" s="7">
        <v>3345.2637416463499</v>
      </c>
      <c r="U68" s="2"/>
      <c r="V68" s="6">
        <f t="shared" si="17"/>
        <v>5.008219482019289E-4</v>
      </c>
      <c r="W68" s="2"/>
      <c r="X68" s="7">
        <f t="shared" si="18"/>
        <v>-344.90374164634977</v>
      </c>
      <c r="Y68" s="2"/>
      <c r="Z68" s="6">
        <f t="shared" si="19"/>
        <v>-0.10310210742206162</v>
      </c>
    </row>
    <row r="69" spans="1:26" s="24" customFormat="1" hidden="1" outlineLevel="2" x14ac:dyDescent="0.25">
      <c r="A69" s="29"/>
      <c r="B69" s="11" t="str">
        <f>CONCATENATE("          ", "6115", " - ", "P.E.R.S.")</f>
        <v xml:space="preserve">          6115 - P.E.R.S.</v>
      </c>
      <c r="C69" s="11"/>
      <c r="D69" s="7">
        <v>14264.99</v>
      </c>
      <c r="E69" s="2"/>
      <c r="F69" s="6">
        <f t="shared" si="12"/>
        <v>6.0712342650436554E-3</v>
      </c>
      <c r="G69" s="2"/>
      <c r="H69" s="7">
        <v>11903.882434261501</v>
      </c>
      <c r="I69" s="2"/>
      <c r="J69" s="6">
        <f t="shared" si="13"/>
        <v>4.990358934717839E-3</v>
      </c>
      <c r="K69" s="2"/>
      <c r="L69" s="7">
        <f t="shared" si="14"/>
        <v>2361.107565738499</v>
      </c>
      <c r="M69" s="2"/>
      <c r="N69" s="6">
        <f t="shared" si="15"/>
        <v>0.1983476885610706</v>
      </c>
      <c r="O69" s="11"/>
      <c r="P69" s="7">
        <v>41678.870000000003</v>
      </c>
      <c r="Q69" s="2"/>
      <c r="R69" s="6">
        <f t="shared" si="16"/>
        <v>7.8016930612136836E-3</v>
      </c>
      <c r="S69" s="2"/>
      <c r="T69" s="7">
        <v>39431.1788728885</v>
      </c>
      <c r="U69" s="2"/>
      <c r="V69" s="6">
        <f t="shared" si="17"/>
        <v>5.9032714153951608E-3</v>
      </c>
      <c r="W69" s="2"/>
      <c r="X69" s="7">
        <f t="shared" si="18"/>
        <v>2247.6911271115023</v>
      </c>
      <c r="Y69" s="2"/>
      <c r="Z69" s="6">
        <f t="shared" si="19"/>
        <v>5.7002889372321966E-2</v>
      </c>
    </row>
    <row r="70" spans="1:26" s="24" customFormat="1" hidden="1" outlineLevel="2" x14ac:dyDescent="0.25">
      <c r="A70" s="29"/>
      <c r="B70" s="11" t="str">
        <f>CONCATENATE("          ", "6116", " - ", "EDUCATIONAL BENEFITS")</f>
        <v xml:space="preserve">          6116 - EDUCATIONAL BENEFITS</v>
      </c>
      <c r="C70" s="11"/>
      <c r="D70" s="7"/>
      <c r="E70" s="2"/>
      <c r="F70" s="6">
        <f t="shared" si="12"/>
        <v>0</v>
      </c>
      <c r="G70" s="2"/>
      <c r="H70" s="7">
        <v>0</v>
      </c>
      <c r="I70" s="2"/>
      <c r="J70" s="6">
        <f t="shared" si="13"/>
        <v>0</v>
      </c>
      <c r="K70" s="2"/>
      <c r="L70" s="7">
        <f t="shared" si="14"/>
        <v>0</v>
      </c>
      <c r="M70" s="2"/>
      <c r="N70" s="6">
        <f t="shared" si="15"/>
        <v>0</v>
      </c>
      <c r="O70" s="11"/>
      <c r="P70" s="7"/>
      <c r="Q70" s="2"/>
      <c r="R70" s="6">
        <f t="shared" si="16"/>
        <v>0</v>
      </c>
      <c r="S70" s="2"/>
      <c r="T70" s="7">
        <v>0</v>
      </c>
      <c r="U70" s="2"/>
      <c r="V70" s="6">
        <f t="shared" si="17"/>
        <v>0</v>
      </c>
      <c r="W70" s="2"/>
      <c r="X70" s="7">
        <f t="shared" si="18"/>
        <v>0</v>
      </c>
      <c r="Y70" s="2"/>
      <c r="Z70" s="6">
        <f t="shared" si="19"/>
        <v>0</v>
      </c>
    </row>
    <row r="71" spans="1:26" s="24" customFormat="1" hidden="1" outlineLevel="2" x14ac:dyDescent="0.25">
      <c r="A71" s="29"/>
      <c r="B71" s="11" t="str">
        <f>CONCATENATE("          ", "6117", " - ", "RETIREMENT STAFF HOURLY")</f>
        <v xml:space="preserve">          6117 - RETIREMENT STAFF HOURLY</v>
      </c>
      <c r="C71" s="11"/>
      <c r="D71" s="7">
        <v>1630.8</v>
      </c>
      <c r="E71" s="2"/>
      <c r="F71" s="6">
        <f t="shared" si="12"/>
        <v>6.9407471294639488E-4</v>
      </c>
      <c r="G71" s="2"/>
      <c r="H71" s="7"/>
      <c r="I71" s="2"/>
      <c r="J71" s="6">
        <f t="shared" si="13"/>
        <v>0</v>
      </c>
      <c r="K71" s="2"/>
      <c r="L71" s="7">
        <f t="shared" si="14"/>
        <v>1630.8</v>
      </c>
      <c r="M71" s="2"/>
      <c r="N71" s="6">
        <f t="shared" si="15"/>
        <v>0</v>
      </c>
      <c r="O71" s="11"/>
      <c r="P71" s="7">
        <v>7054.8</v>
      </c>
      <c r="Q71" s="2"/>
      <c r="R71" s="6">
        <f t="shared" si="16"/>
        <v>1.3205584558374614E-3</v>
      </c>
      <c r="S71" s="2"/>
      <c r="T71" s="7"/>
      <c r="U71" s="2"/>
      <c r="V71" s="6">
        <f t="shared" si="17"/>
        <v>0</v>
      </c>
      <c r="W71" s="2"/>
      <c r="X71" s="7">
        <f t="shared" si="18"/>
        <v>7054.8</v>
      </c>
      <c r="Y71" s="2"/>
      <c r="Z71" s="6">
        <f t="shared" si="19"/>
        <v>0</v>
      </c>
    </row>
    <row r="72" spans="1:26" s="24" customFormat="1" hidden="1" outlineLevel="2" x14ac:dyDescent="0.25">
      <c r="A72" s="29"/>
      <c r="B72" s="11" t="str">
        <f>CONCATENATE("          ", "6118", " - ", "VACATION")</f>
        <v xml:space="preserve">          6118 - VACATION</v>
      </c>
      <c r="C72" s="11"/>
      <c r="D72" s="7">
        <v>15332.37</v>
      </c>
      <c r="E72" s="2"/>
      <c r="F72" s="6">
        <f t="shared" si="12"/>
        <v>6.525515272588862E-3</v>
      </c>
      <c r="G72" s="2"/>
      <c r="H72" s="7">
        <v>12737.067100976899</v>
      </c>
      <c r="I72" s="2"/>
      <c r="J72" s="6">
        <f t="shared" si="13"/>
        <v>5.3396475444445236E-3</v>
      </c>
      <c r="K72" s="2"/>
      <c r="L72" s="7">
        <f t="shared" si="14"/>
        <v>2595.3028990231014</v>
      </c>
      <c r="M72" s="2"/>
      <c r="N72" s="6">
        <f t="shared" si="15"/>
        <v>0.20375985134160504</v>
      </c>
      <c r="O72" s="11"/>
      <c r="P72" s="7">
        <v>45923.29</v>
      </c>
      <c r="Q72" s="2"/>
      <c r="R72" s="6">
        <f t="shared" si="16"/>
        <v>8.5961882589692031E-3</v>
      </c>
      <c r="S72" s="2"/>
      <c r="T72" s="7">
        <v>42252.285211405702</v>
      </c>
      <c r="U72" s="2"/>
      <c r="V72" s="6">
        <f t="shared" si="17"/>
        <v>6.3256213649526983E-3</v>
      </c>
      <c r="W72" s="2"/>
      <c r="X72" s="7">
        <f t="shared" si="18"/>
        <v>3671.0047885942986</v>
      </c>
      <c r="Y72" s="2"/>
      <c r="Z72" s="6">
        <f t="shared" si="19"/>
        <v>8.6882987990513166E-2</v>
      </c>
    </row>
    <row r="73" spans="1:26" s="24" customFormat="1" hidden="1" outlineLevel="2" x14ac:dyDescent="0.25">
      <c r="A73" s="29"/>
      <c r="B73" s="11" t="str">
        <f>CONCATENATE("          ", "6119", " - ", "SICK LEAVE")</f>
        <v xml:space="preserve">          6119 - SICK LEAVE</v>
      </c>
      <c r="C73" s="11"/>
      <c r="D73" s="7">
        <v>11346.47</v>
      </c>
      <c r="E73" s="2"/>
      <c r="F73" s="6">
        <f t="shared" si="12"/>
        <v>4.8291009984086832E-3</v>
      </c>
      <c r="G73" s="2"/>
      <c r="H73" s="7">
        <v>18232.021627338501</v>
      </c>
      <c r="I73" s="2"/>
      <c r="J73" s="6">
        <f t="shared" si="13"/>
        <v>7.6432485391563013E-3</v>
      </c>
      <c r="K73" s="2"/>
      <c r="L73" s="7">
        <f t="shared" si="14"/>
        <v>-6885.5516273385019</v>
      </c>
      <c r="M73" s="2"/>
      <c r="N73" s="6">
        <f t="shared" si="15"/>
        <v>-0.37766254165768287</v>
      </c>
      <c r="O73" s="11"/>
      <c r="P73" s="7">
        <v>32070.32</v>
      </c>
      <c r="Q73" s="2"/>
      <c r="R73" s="6">
        <f t="shared" si="16"/>
        <v>6.0031088418400595E-3</v>
      </c>
      <c r="S73" s="2"/>
      <c r="T73" s="7">
        <v>50486.641686965399</v>
      </c>
      <c r="U73" s="2"/>
      <c r="V73" s="6">
        <f t="shared" si="17"/>
        <v>7.558393059733751E-3</v>
      </c>
      <c r="W73" s="2"/>
      <c r="X73" s="7">
        <f t="shared" si="18"/>
        <v>-18416.321686965399</v>
      </c>
      <c r="Y73" s="2"/>
      <c r="Z73" s="6">
        <f t="shared" si="19"/>
        <v>-0.36477612833020168</v>
      </c>
    </row>
    <row r="74" spans="1:26" s="24" customFormat="1" hidden="1" outlineLevel="2" x14ac:dyDescent="0.25">
      <c r="A74" s="29"/>
      <c r="B74" s="11" t="str">
        <f>CONCATENATE("          ", "6156", " - ", "EMPLOYEE MEALS")</f>
        <v xml:space="preserve">          6156 - EMPLOYEE MEALS</v>
      </c>
      <c r="C74" s="11"/>
      <c r="D74" s="7">
        <v>6632.65</v>
      </c>
      <c r="E74" s="2"/>
      <c r="F74" s="6">
        <f t="shared" si="12"/>
        <v>2.8228811901054121E-3</v>
      </c>
      <c r="G74" s="2"/>
      <c r="H74" s="7">
        <v>9121</v>
      </c>
      <c r="I74" s="2"/>
      <c r="J74" s="6">
        <f t="shared" si="13"/>
        <v>3.8237158418630859E-3</v>
      </c>
      <c r="K74" s="2"/>
      <c r="L74" s="7">
        <f t="shared" si="14"/>
        <v>-2488.3500000000004</v>
      </c>
      <c r="M74" s="2"/>
      <c r="N74" s="6">
        <f t="shared" si="15"/>
        <v>-0.27281548075868878</v>
      </c>
      <c r="O74" s="11"/>
      <c r="P74" s="7">
        <v>17391.13</v>
      </c>
      <c r="Q74" s="2"/>
      <c r="R74" s="6">
        <f t="shared" si="16"/>
        <v>3.2553727643687348E-3</v>
      </c>
      <c r="S74" s="2"/>
      <c r="T74" s="7">
        <v>26707</v>
      </c>
      <c r="U74" s="2"/>
      <c r="V74" s="6">
        <f t="shared" si="17"/>
        <v>3.998325036113976E-3</v>
      </c>
      <c r="W74" s="2"/>
      <c r="X74" s="7">
        <f t="shared" si="18"/>
        <v>-9315.869999999999</v>
      </c>
      <c r="Y74" s="2"/>
      <c r="Z74" s="6">
        <f t="shared" si="19"/>
        <v>-0.34881753847305946</v>
      </c>
    </row>
    <row r="75" spans="1:26" s="28" customFormat="1" outlineLevel="1" collapsed="1" x14ac:dyDescent="0.25">
      <c r="A75" s="27"/>
      <c r="B75" s="14" t="str">
        <f>CONCATENATE("     ","*Payroll                                          ")</f>
        <v xml:space="preserve">     *Payroll                                          </v>
      </c>
      <c r="C75" s="14"/>
      <c r="D75" s="1">
        <f>SUM(OSRRefD22_1x_0)</f>
        <v>481872.38000000006</v>
      </c>
      <c r="E75" s="1"/>
      <c r="F75" s="5">
        <f t="shared" ref="F75:F85" si="20">IF(D$12=0,0,D75/D$12)</f>
        <v>0.20508672665274474</v>
      </c>
      <c r="G75" s="1"/>
      <c r="H75" s="1">
        <f>SUM(OSRRefH22_1x_0)</f>
        <v>558185.38806217699</v>
      </c>
      <c r="I75" s="1"/>
      <c r="J75" s="5">
        <f t="shared" ref="J75:J85" si="21">IF(H$12=0,0,H75/H$12)</f>
        <v>0.23400310393924353</v>
      </c>
      <c r="K75" s="1"/>
      <c r="L75" s="1">
        <f t="shared" ref="L75:L85" si="22">+D75-H75</f>
        <v>-76313.00806217693</v>
      </c>
      <c r="M75" s="1"/>
      <c r="N75" s="5">
        <f t="shared" ref="N75:N85" si="23">IF(H75=0,0,L75/H75)</f>
        <v>-0.13671624104512806</v>
      </c>
      <c r="O75" s="14"/>
      <c r="P75" s="1">
        <f>SUM(OSRRefP22_1x_0)</f>
        <v>1247632.04</v>
      </c>
      <c r="Q75" s="1"/>
      <c r="R75" s="5">
        <f t="shared" ref="R75:R85" si="24">IF(P$12=0,0,P75/P$12)</f>
        <v>0.23353901459938509</v>
      </c>
      <c r="S75" s="1"/>
      <c r="T75" s="1">
        <f>SUM(OSRRefT22_1x_0)</f>
        <v>1516020.8701005359</v>
      </c>
      <c r="U75" s="1"/>
      <c r="V75" s="5">
        <f t="shared" ref="V75:V85" si="25">IF(T$12=0,0,T75/T$12)</f>
        <v>0.22696462351421973</v>
      </c>
      <c r="W75" s="1"/>
      <c r="X75" s="1">
        <f t="shared" ref="X75:X85" si="26">+P75-T75</f>
        <v>-268388.83010053588</v>
      </c>
      <c r="Y75" s="1"/>
      <c r="Z75" s="5">
        <f t="shared" ref="Z75:Z85" si="27">IF(T75=0,0,X75/T75)</f>
        <v>-0.17703504971058709</v>
      </c>
    </row>
    <row r="76" spans="1:26" s="24" customFormat="1" hidden="1" outlineLevel="2" x14ac:dyDescent="0.25">
      <c r="A76" s="29"/>
      <c r="B76" s="11" t="str">
        <f>CONCATENATE("          ", "6001", " - ", "ADMINISTRATIVE SALARIES")</f>
        <v xml:space="preserve">          6001 - ADMINISTRATIVE SALARIES</v>
      </c>
      <c r="C76" s="11"/>
      <c r="D76" s="7">
        <v>27089.58</v>
      </c>
      <c r="E76" s="2"/>
      <c r="F76" s="6">
        <f t="shared" si="20"/>
        <v>1.1529428784853078E-2</v>
      </c>
      <c r="G76" s="2"/>
      <c r="H76" s="7">
        <v>18547.9230769231</v>
      </c>
      <c r="I76" s="2"/>
      <c r="J76" s="6">
        <f t="shared" si="21"/>
        <v>7.7756810988804702E-3</v>
      </c>
      <c r="K76" s="2"/>
      <c r="L76" s="7">
        <f t="shared" si="22"/>
        <v>8541.6569230769019</v>
      </c>
      <c r="M76" s="2"/>
      <c r="N76" s="6">
        <f t="shared" si="23"/>
        <v>0.46051824172724953</v>
      </c>
      <c r="O76" s="11"/>
      <c r="P76" s="7">
        <v>90096.76</v>
      </c>
      <c r="Q76" s="2"/>
      <c r="R76" s="6">
        <f t="shared" si="24"/>
        <v>1.6864835043028624E-2</v>
      </c>
      <c r="S76" s="2"/>
      <c r="T76" s="7">
        <v>60280.75</v>
      </c>
      <c r="U76" s="2"/>
      <c r="V76" s="6">
        <f t="shared" si="25"/>
        <v>9.0246763740115914E-3</v>
      </c>
      <c r="W76" s="2"/>
      <c r="X76" s="7">
        <f t="shared" si="26"/>
        <v>29816.009999999995</v>
      </c>
      <c r="Y76" s="2"/>
      <c r="Z76" s="6">
        <f t="shared" si="27"/>
        <v>0.49461909481882682</v>
      </c>
    </row>
    <row r="77" spans="1:26" s="24" customFormat="1" hidden="1" outlineLevel="2" x14ac:dyDescent="0.25">
      <c r="A77" s="29"/>
      <c r="B77" s="11" t="str">
        <f>CONCATENATE("          ", "6002", " - ", "STAFF SALARIES")</f>
        <v xml:space="preserve">          6002 - STAFF SALARIES</v>
      </c>
      <c r="C77" s="11"/>
      <c r="D77" s="7">
        <v>122979.42</v>
      </c>
      <c r="E77" s="2"/>
      <c r="F77" s="6">
        <f t="shared" si="20"/>
        <v>5.2340511181514678E-2</v>
      </c>
      <c r="G77" s="2"/>
      <c r="H77" s="7">
        <v>108729.003577254</v>
      </c>
      <c r="I77" s="2"/>
      <c r="J77" s="6">
        <f t="shared" si="21"/>
        <v>4.5581494731754657E-2</v>
      </c>
      <c r="K77" s="2"/>
      <c r="L77" s="7">
        <f t="shared" si="22"/>
        <v>14250.416422745999</v>
      </c>
      <c r="M77" s="2"/>
      <c r="N77" s="6">
        <f t="shared" si="23"/>
        <v>0.13106361645833359</v>
      </c>
      <c r="O77" s="11"/>
      <c r="P77" s="7">
        <v>374175.62</v>
      </c>
      <c r="Q77" s="2"/>
      <c r="R77" s="6">
        <f t="shared" si="24"/>
        <v>7.0040366694906264E-2</v>
      </c>
      <c r="S77" s="2"/>
      <c r="T77" s="7">
        <v>360718.410664536</v>
      </c>
      <c r="U77" s="2"/>
      <c r="V77" s="6">
        <f t="shared" si="25"/>
        <v>5.40034242837929E-2</v>
      </c>
      <c r="W77" s="2"/>
      <c r="X77" s="7">
        <f t="shared" si="26"/>
        <v>13457.209335463995</v>
      </c>
      <c r="Y77" s="2"/>
      <c r="Z77" s="6">
        <f t="shared" si="27"/>
        <v>3.7306688368559722E-2</v>
      </c>
    </row>
    <row r="78" spans="1:26" s="24" customFormat="1" hidden="1" outlineLevel="2" x14ac:dyDescent="0.25">
      <c r="A78" s="29"/>
      <c r="B78" s="11" t="str">
        <f>CONCATENATE("          ", "6003", " - ", "STAFF HOURLY-9 MONTH")</f>
        <v xml:space="preserve">          6003 - STAFF HOURLY-9 MONTH</v>
      </c>
      <c r="C78" s="11"/>
      <c r="D78" s="7"/>
      <c r="E78" s="2"/>
      <c r="F78" s="6">
        <f t="shared" si="20"/>
        <v>0</v>
      </c>
      <c r="G78" s="2"/>
      <c r="H78" s="7">
        <v>0</v>
      </c>
      <c r="I78" s="2"/>
      <c r="J78" s="6">
        <f t="shared" si="21"/>
        <v>0</v>
      </c>
      <c r="K78" s="2"/>
      <c r="L78" s="7">
        <f t="shared" si="22"/>
        <v>0</v>
      </c>
      <c r="M78" s="2"/>
      <c r="N78" s="6">
        <f t="shared" si="23"/>
        <v>0</v>
      </c>
      <c r="O78" s="11"/>
      <c r="P78" s="7"/>
      <c r="Q78" s="2"/>
      <c r="R78" s="6">
        <f t="shared" si="24"/>
        <v>0</v>
      </c>
      <c r="S78" s="2"/>
      <c r="T78" s="7">
        <v>0</v>
      </c>
      <c r="U78" s="2"/>
      <c r="V78" s="6">
        <f t="shared" si="25"/>
        <v>0</v>
      </c>
      <c r="W78" s="2"/>
      <c r="X78" s="7">
        <f t="shared" si="26"/>
        <v>0</v>
      </c>
      <c r="Y78" s="2"/>
      <c r="Z78" s="6">
        <f t="shared" si="27"/>
        <v>0</v>
      </c>
    </row>
    <row r="79" spans="1:26" s="24" customFormat="1" hidden="1" outlineLevel="2" x14ac:dyDescent="0.25">
      <c r="A79" s="29"/>
      <c r="B79" s="11" t="str">
        <f>CONCATENATE("          ", "6004", " - ", "STAFF HOURLY")</f>
        <v xml:space="preserve">          6004 - STAFF HOURLY</v>
      </c>
      <c r="C79" s="11"/>
      <c r="D79" s="7">
        <v>129060.43</v>
      </c>
      <c r="E79" s="2"/>
      <c r="F79" s="6">
        <f t="shared" si="20"/>
        <v>5.4928612279242263E-2</v>
      </c>
      <c r="G79" s="2"/>
      <c r="H79" s="7">
        <v>157191.16640799999</v>
      </c>
      <c r="I79" s="2"/>
      <c r="J79" s="6">
        <f t="shared" si="21"/>
        <v>6.5897856944984776E-2</v>
      </c>
      <c r="K79" s="2"/>
      <c r="L79" s="7">
        <f t="shared" si="22"/>
        <v>-28130.736407999997</v>
      </c>
      <c r="M79" s="2"/>
      <c r="N79" s="6">
        <f t="shared" si="23"/>
        <v>-0.17895876117481579</v>
      </c>
      <c r="O79" s="11"/>
      <c r="P79" s="7">
        <v>273882.81</v>
      </c>
      <c r="Q79" s="2"/>
      <c r="R79" s="6">
        <f t="shared" si="24"/>
        <v>5.1266975768841754E-2</v>
      </c>
      <c r="S79" s="2"/>
      <c r="T79" s="7">
        <v>477037.56943600002</v>
      </c>
      <c r="U79" s="2"/>
      <c r="V79" s="6">
        <f t="shared" si="25"/>
        <v>7.1417652939039136E-2</v>
      </c>
      <c r="W79" s="2"/>
      <c r="X79" s="7">
        <f t="shared" si="26"/>
        <v>-203154.75943600002</v>
      </c>
      <c r="Y79" s="2"/>
      <c r="Z79" s="6">
        <f t="shared" si="27"/>
        <v>-0.42586742104230751</v>
      </c>
    </row>
    <row r="80" spans="1:26" s="24" customFormat="1" hidden="1" outlineLevel="2" x14ac:dyDescent="0.25">
      <c r="A80" s="29"/>
      <c r="B80" s="11" t="str">
        <f>CONCATENATE("          ", "6005", " - ", "TEMPORARY WAGES-HOURLY")</f>
        <v xml:space="preserve">          6005 - TEMPORARY WAGES-HOURLY</v>
      </c>
      <c r="C80" s="11"/>
      <c r="D80" s="7">
        <v>69290.64</v>
      </c>
      <c r="E80" s="2"/>
      <c r="F80" s="6">
        <f t="shared" si="20"/>
        <v>2.9490361214049538E-2</v>
      </c>
      <c r="G80" s="2"/>
      <c r="H80" s="7">
        <v>40747.620000000003</v>
      </c>
      <c r="I80" s="2"/>
      <c r="J80" s="6">
        <f t="shared" si="21"/>
        <v>1.7082262922071826E-2</v>
      </c>
      <c r="K80" s="2"/>
      <c r="L80" s="7">
        <f t="shared" si="22"/>
        <v>28543.019999999997</v>
      </c>
      <c r="M80" s="2"/>
      <c r="N80" s="6">
        <f t="shared" si="23"/>
        <v>0.70048312024113302</v>
      </c>
      <c r="O80" s="11"/>
      <c r="P80" s="7">
        <v>131016.63</v>
      </c>
      <c r="Q80" s="2"/>
      <c r="R80" s="6">
        <f t="shared" si="24"/>
        <v>2.4524454074081194E-2</v>
      </c>
      <c r="S80" s="2"/>
      <c r="T80" s="7">
        <v>74959.839999999997</v>
      </c>
      <c r="U80" s="2"/>
      <c r="V80" s="6">
        <f t="shared" si="25"/>
        <v>1.1222293966941171E-2</v>
      </c>
      <c r="W80" s="2"/>
      <c r="X80" s="7">
        <f t="shared" si="26"/>
        <v>56056.790000000008</v>
      </c>
      <c r="Y80" s="2"/>
      <c r="Z80" s="6">
        <f t="shared" si="27"/>
        <v>0.74782430165272518</v>
      </c>
    </row>
    <row r="81" spans="1:26" s="24" customFormat="1" hidden="1" outlineLevel="2" x14ac:dyDescent="0.25">
      <c r="A81" s="29"/>
      <c r="B81" s="11" t="str">
        <f>CONCATENATE("          ", "6006", " - ", "TEMPORARY PART TIME")</f>
        <v xml:space="preserve">          6006 - TEMPORARY PART TIME</v>
      </c>
      <c r="C81" s="11"/>
      <c r="D81" s="7">
        <v>2957.46</v>
      </c>
      <c r="E81" s="2"/>
      <c r="F81" s="6">
        <f t="shared" si="20"/>
        <v>1.2587062794643395E-3</v>
      </c>
      <c r="G81" s="2"/>
      <c r="H81" s="7">
        <v>0</v>
      </c>
      <c r="I81" s="2"/>
      <c r="J81" s="6">
        <f t="shared" si="21"/>
        <v>0</v>
      </c>
      <c r="K81" s="2"/>
      <c r="L81" s="7">
        <f t="shared" si="22"/>
        <v>2957.46</v>
      </c>
      <c r="M81" s="2"/>
      <c r="N81" s="6">
        <f t="shared" si="23"/>
        <v>0</v>
      </c>
      <c r="O81" s="11"/>
      <c r="P81" s="7">
        <v>9095.65</v>
      </c>
      <c r="Q81" s="2"/>
      <c r="R81" s="6">
        <f t="shared" si="24"/>
        <v>1.7025766171738397E-3</v>
      </c>
      <c r="S81" s="2"/>
      <c r="T81" s="7">
        <v>0</v>
      </c>
      <c r="U81" s="2"/>
      <c r="V81" s="6">
        <f t="shared" si="25"/>
        <v>0</v>
      </c>
      <c r="W81" s="2"/>
      <c r="X81" s="7">
        <f t="shared" si="26"/>
        <v>9095.65</v>
      </c>
      <c r="Y81" s="2"/>
      <c r="Z81" s="6">
        <f t="shared" si="27"/>
        <v>0</v>
      </c>
    </row>
    <row r="82" spans="1:26" s="24" customFormat="1" hidden="1" outlineLevel="2" x14ac:dyDescent="0.25">
      <c r="A82" s="29"/>
      <c r="B82" s="11" t="str">
        <f>CONCATENATE("          ", "6007", " - ", "STUDENT HOURLY")</f>
        <v xml:space="preserve">          6007 - STUDENT HOURLY</v>
      </c>
      <c r="C82" s="11"/>
      <c r="D82" s="7">
        <v>116733.89</v>
      </c>
      <c r="E82" s="2"/>
      <c r="F82" s="6">
        <f t="shared" si="20"/>
        <v>4.968238974298874E-2</v>
      </c>
      <c r="G82" s="2"/>
      <c r="H82" s="7">
        <v>30076.68</v>
      </c>
      <c r="I82" s="2"/>
      <c r="J82" s="6">
        <f t="shared" si="21"/>
        <v>1.2608779496398052E-2</v>
      </c>
      <c r="K82" s="2"/>
      <c r="L82" s="7">
        <f t="shared" si="22"/>
        <v>86657.209999999992</v>
      </c>
      <c r="M82" s="2"/>
      <c r="N82" s="6">
        <f t="shared" si="23"/>
        <v>2.8812092957068396</v>
      </c>
      <c r="O82" s="11"/>
      <c r="P82" s="7">
        <v>328752.95</v>
      </c>
      <c r="Q82" s="2"/>
      <c r="R82" s="6">
        <f t="shared" si="24"/>
        <v>6.1537887396384043E-2</v>
      </c>
      <c r="S82" s="2"/>
      <c r="T82" s="7">
        <v>209754.67</v>
      </c>
      <c r="U82" s="2"/>
      <c r="V82" s="6">
        <f t="shared" si="25"/>
        <v>3.1402529243375339E-2</v>
      </c>
      <c r="W82" s="2"/>
      <c r="X82" s="7">
        <f t="shared" si="26"/>
        <v>118998.28</v>
      </c>
      <c r="Y82" s="2"/>
      <c r="Z82" s="6">
        <f t="shared" si="27"/>
        <v>0.56732124247817695</v>
      </c>
    </row>
    <row r="83" spans="1:26" s="24" customFormat="1" hidden="1" outlineLevel="2" x14ac:dyDescent="0.25">
      <c r="A83" s="29"/>
      <c r="B83" s="11" t="str">
        <f>CONCATENATE("          ", "6008", " - ", "STUDENT HOURLY-FICA EXEMPT")</f>
        <v xml:space="preserve">          6008 - STUDENT HOURLY-FICA EXEMPT</v>
      </c>
      <c r="C83" s="11"/>
      <c r="D83" s="7">
        <v>13760.96</v>
      </c>
      <c r="E83" s="2"/>
      <c r="F83" s="6">
        <f t="shared" si="20"/>
        <v>5.8567171706320953E-3</v>
      </c>
      <c r="G83" s="2"/>
      <c r="H83" s="7">
        <v>202892.995</v>
      </c>
      <c r="I83" s="2"/>
      <c r="J83" s="6">
        <f t="shared" si="21"/>
        <v>8.5057028745153807E-2</v>
      </c>
      <c r="K83" s="2"/>
      <c r="L83" s="7">
        <f t="shared" si="22"/>
        <v>-189132.035</v>
      </c>
      <c r="M83" s="2"/>
      <c r="N83" s="6">
        <f t="shared" si="23"/>
        <v>-0.93217626857940561</v>
      </c>
      <c r="O83" s="11"/>
      <c r="P83" s="7">
        <v>40611.620000000003</v>
      </c>
      <c r="Q83" s="2"/>
      <c r="R83" s="6">
        <f t="shared" si="24"/>
        <v>7.6019190049693491E-3</v>
      </c>
      <c r="S83" s="2"/>
      <c r="T83" s="7">
        <v>333269.63</v>
      </c>
      <c r="U83" s="2"/>
      <c r="V83" s="6">
        <f t="shared" si="25"/>
        <v>4.9894046707059624E-2</v>
      </c>
      <c r="W83" s="2"/>
      <c r="X83" s="7">
        <f t="shared" si="26"/>
        <v>-292658.01</v>
      </c>
      <c r="Y83" s="2"/>
      <c r="Z83" s="6">
        <f t="shared" si="27"/>
        <v>-0.87814185168927639</v>
      </c>
    </row>
    <row r="84" spans="1:26" s="24" customFormat="1" hidden="1" outlineLevel="2" x14ac:dyDescent="0.25">
      <c r="A84" s="29"/>
      <c r="B84" s="11" t="str">
        <f>CONCATENATE("          ", "6009", " - ", "TEMPORARY-SEASONAL")</f>
        <v xml:space="preserve">          6009 - TEMPORARY-SEASONAL</v>
      </c>
      <c r="C84" s="11"/>
      <c r="D84" s="7"/>
      <c r="E84" s="2"/>
      <c r="F84" s="6">
        <f t="shared" si="20"/>
        <v>0</v>
      </c>
      <c r="G84" s="2"/>
      <c r="H84" s="7">
        <v>0</v>
      </c>
      <c r="I84" s="2"/>
      <c r="J84" s="6">
        <f t="shared" si="21"/>
        <v>0</v>
      </c>
      <c r="K84" s="2"/>
      <c r="L84" s="7">
        <f t="shared" si="22"/>
        <v>0</v>
      </c>
      <c r="M84" s="2"/>
      <c r="N84" s="6">
        <f t="shared" si="23"/>
        <v>0</v>
      </c>
      <c r="O84" s="11"/>
      <c r="P84" s="7"/>
      <c r="Q84" s="2"/>
      <c r="R84" s="6">
        <f t="shared" si="24"/>
        <v>0</v>
      </c>
      <c r="S84" s="2"/>
      <c r="T84" s="7">
        <v>0</v>
      </c>
      <c r="U84" s="2"/>
      <c r="V84" s="6">
        <f t="shared" si="25"/>
        <v>0</v>
      </c>
      <c r="W84" s="2"/>
      <c r="X84" s="7">
        <f t="shared" si="26"/>
        <v>0</v>
      </c>
      <c r="Y84" s="2"/>
      <c r="Z84" s="6">
        <f t="shared" si="27"/>
        <v>0</v>
      </c>
    </row>
    <row r="85" spans="1:26" s="24" customFormat="1" hidden="1" outlineLevel="2" x14ac:dyDescent="0.25">
      <c r="A85" s="29"/>
      <c r="B85" s="11" t="str">
        <f>CONCATENATE("          ", "6010", " - ", "GRATUITY")</f>
        <v xml:space="preserve">          6010 - GRATUITY</v>
      </c>
      <c r="C85" s="11"/>
      <c r="D85" s="7"/>
      <c r="E85" s="2"/>
      <c r="F85" s="6">
        <f t="shared" si="20"/>
        <v>0</v>
      </c>
      <c r="G85" s="2"/>
      <c r="H85" s="7">
        <v>0</v>
      </c>
      <c r="I85" s="2"/>
      <c r="J85" s="6">
        <f t="shared" si="21"/>
        <v>0</v>
      </c>
      <c r="K85" s="2"/>
      <c r="L85" s="7">
        <f t="shared" si="22"/>
        <v>0</v>
      </c>
      <c r="M85" s="2"/>
      <c r="N85" s="6">
        <f t="shared" si="23"/>
        <v>0</v>
      </c>
      <c r="O85" s="11"/>
      <c r="P85" s="7"/>
      <c r="Q85" s="2"/>
      <c r="R85" s="6">
        <f t="shared" si="24"/>
        <v>0</v>
      </c>
      <c r="S85" s="2"/>
      <c r="T85" s="7">
        <v>0</v>
      </c>
      <c r="U85" s="2"/>
      <c r="V85" s="6">
        <f t="shared" si="25"/>
        <v>0</v>
      </c>
      <c r="W85" s="2"/>
      <c r="X85" s="7">
        <f t="shared" si="26"/>
        <v>0</v>
      </c>
      <c r="Y85" s="2"/>
      <c r="Z85" s="6">
        <f t="shared" si="27"/>
        <v>0</v>
      </c>
    </row>
    <row r="86" spans="1:26" s="28" customFormat="1" outlineLevel="1" collapsed="1" x14ac:dyDescent="0.25">
      <c r="A86" s="27"/>
      <c r="B86" s="14" t="str">
        <f>CONCATENATE("     ","Advertising/Promo                                 ")</f>
        <v xml:space="preserve">     Advertising/Promo                                 </v>
      </c>
      <c r="C86" s="14"/>
      <c r="D86" s="1">
        <f>SUM(OSRRefD22_2x_0)</f>
        <v>1134.2</v>
      </c>
      <c r="E86" s="1"/>
      <c r="F86" s="5">
        <f t="shared" ref="F86:F94" si="28">IF(D$12=0,0,D86/D$12)</f>
        <v>4.8271985493242645E-4</v>
      </c>
      <c r="G86" s="1"/>
      <c r="H86" s="1">
        <f>SUM(OSRRefH22_2x_0)</f>
        <v>1919</v>
      </c>
      <c r="I86" s="1"/>
      <c r="J86" s="5">
        <f t="shared" ref="J86:J94" si="29">IF(H$12=0,0,H86/H$12)</f>
        <v>8.044853306145446E-4</v>
      </c>
      <c r="K86" s="1"/>
      <c r="L86" s="1">
        <f t="shared" ref="L86:L94" si="30">+D86-H86</f>
        <v>-784.8</v>
      </c>
      <c r="M86" s="1"/>
      <c r="N86" s="5">
        <f t="shared" ref="N86:N94" si="31">IF(H86=0,0,L86/H86)</f>
        <v>-0.40896300156331422</v>
      </c>
      <c r="O86" s="14"/>
      <c r="P86" s="1">
        <f>SUM(OSRRefP22_2x_0)</f>
        <v>5925.45</v>
      </c>
      <c r="Q86" s="1"/>
      <c r="R86" s="5">
        <f t="shared" ref="R86:R94" si="32">IF(P$12=0,0,P86/P$12)</f>
        <v>1.1091601607617629E-3</v>
      </c>
      <c r="S86" s="1"/>
      <c r="T86" s="1">
        <f>SUM(OSRRefT22_2x_0)</f>
        <v>8757</v>
      </c>
      <c r="U86" s="1"/>
      <c r="V86" s="5">
        <f t="shared" ref="V86:V94" si="33">IF(T$12=0,0,T86/T$12)</f>
        <v>1.3110170495094953E-3</v>
      </c>
      <c r="W86" s="1"/>
      <c r="X86" s="1">
        <f t="shared" ref="X86:X94" si="34">+P86-T86</f>
        <v>-2831.55</v>
      </c>
      <c r="Y86" s="1"/>
      <c r="Z86" s="5">
        <f t="shared" ref="Z86:Z94" si="35">IF(T86=0,0,X86/T86)</f>
        <v>-0.3233470366563892</v>
      </c>
    </row>
    <row r="87" spans="1:26" s="24" customFormat="1" hidden="1" outlineLevel="2" x14ac:dyDescent="0.25">
      <c r="A87" s="29"/>
      <c r="B87" s="11" t="str">
        <f>CONCATENATE("          ", "6362", " - ", "ADVERTISING EXPENSE")</f>
        <v xml:space="preserve">          6362 - ADVERTISING EXPENSE</v>
      </c>
      <c r="C87" s="11"/>
      <c r="D87" s="7">
        <v>1134.2</v>
      </c>
      <c r="E87" s="2"/>
      <c r="F87" s="6">
        <f t="shared" si="28"/>
        <v>4.8271985493242645E-4</v>
      </c>
      <c r="G87" s="2"/>
      <c r="H87" s="7">
        <v>1919</v>
      </c>
      <c r="I87" s="2"/>
      <c r="J87" s="6">
        <f t="shared" si="29"/>
        <v>8.044853306145446E-4</v>
      </c>
      <c r="K87" s="2"/>
      <c r="L87" s="7">
        <f t="shared" si="30"/>
        <v>-784.8</v>
      </c>
      <c r="M87" s="2"/>
      <c r="N87" s="6">
        <f t="shared" si="31"/>
        <v>-0.40896300156331422</v>
      </c>
      <c r="O87" s="11"/>
      <c r="P87" s="7">
        <v>5925.45</v>
      </c>
      <c r="Q87" s="2"/>
      <c r="R87" s="6">
        <f t="shared" si="32"/>
        <v>1.1091601607617629E-3</v>
      </c>
      <c r="S87" s="2"/>
      <c r="T87" s="7">
        <v>8757</v>
      </c>
      <c r="U87" s="2"/>
      <c r="V87" s="6">
        <f t="shared" si="33"/>
        <v>1.3110170495094953E-3</v>
      </c>
      <c r="W87" s="2"/>
      <c r="X87" s="7">
        <f t="shared" si="34"/>
        <v>-2831.55</v>
      </c>
      <c r="Y87" s="2"/>
      <c r="Z87" s="6">
        <f t="shared" si="35"/>
        <v>-0.3233470366563892</v>
      </c>
    </row>
    <row r="88" spans="1:26" s="28" customFormat="1" outlineLevel="1" collapsed="1" x14ac:dyDescent="0.25">
      <c r="A88" s="27"/>
      <c r="B88" s="14" t="str">
        <f>CONCATENATE("     ","Bad Debts/Over/Short                              ")</f>
        <v xml:space="preserve">     Bad Debts/Over/Short                              </v>
      </c>
      <c r="C88" s="14"/>
      <c r="D88" s="1">
        <f>SUM(OSRRefD22_3x_0)</f>
        <v>104.72</v>
      </c>
      <c r="E88" s="1"/>
      <c r="F88" s="5">
        <f t="shared" si="28"/>
        <v>4.4569232241689028E-5</v>
      </c>
      <c r="G88" s="1"/>
      <c r="H88" s="1">
        <f>SUM(OSRRefH22_3x_0)</f>
        <v>278</v>
      </c>
      <c r="I88" s="1"/>
      <c r="J88" s="5">
        <f t="shared" si="29"/>
        <v>1.1654347155333163E-4</v>
      </c>
      <c r="K88" s="1"/>
      <c r="L88" s="1">
        <f t="shared" si="30"/>
        <v>-173.28</v>
      </c>
      <c r="M88" s="1"/>
      <c r="N88" s="5">
        <f t="shared" si="31"/>
        <v>-0.62330935251798558</v>
      </c>
      <c r="O88" s="14"/>
      <c r="P88" s="1">
        <f>SUM(OSRRefP22_3x_0)</f>
        <v>148.21</v>
      </c>
      <c r="Q88" s="1"/>
      <c r="R88" s="5">
        <f t="shared" si="32"/>
        <v>2.7742808972567635E-5</v>
      </c>
      <c r="S88" s="1"/>
      <c r="T88" s="1">
        <f>SUM(OSRRefT22_3x_0)</f>
        <v>816</v>
      </c>
      <c r="U88" s="1"/>
      <c r="V88" s="5">
        <f t="shared" si="33"/>
        <v>1.2216397309578031E-4</v>
      </c>
      <c r="W88" s="1"/>
      <c r="X88" s="1">
        <f t="shared" si="34"/>
        <v>-667.79</v>
      </c>
      <c r="Y88" s="1"/>
      <c r="Z88" s="5">
        <f t="shared" si="35"/>
        <v>-0.81837009803921568</v>
      </c>
    </row>
    <row r="89" spans="1:26" s="24" customFormat="1" hidden="1" outlineLevel="2" x14ac:dyDescent="0.25">
      <c r="A89" s="29"/>
      <c r="B89" s="11" t="str">
        <f>CONCATENATE("          ", "6272", " - ", "CASH (OVER/SHORT)")</f>
        <v xml:space="preserve">          6272 - CASH (OVER/SHORT)</v>
      </c>
      <c r="C89" s="11"/>
      <c r="D89" s="7">
        <v>104.72</v>
      </c>
      <c r="E89" s="2"/>
      <c r="F89" s="6">
        <f t="shared" si="28"/>
        <v>4.4569232241689028E-5</v>
      </c>
      <c r="G89" s="2"/>
      <c r="H89" s="7">
        <v>278</v>
      </c>
      <c r="I89" s="2"/>
      <c r="J89" s="6">
        <f t="shared" si="29"/>
        <v>1.1654347155333163E-4</v>
      </c>
      <c r="K89" s="2"/>
      <c r="L89" s="7">
        <f t="shared" si="30"/>
        <v>-173.28</v>
      </c>
      <c r="M89" s="2"/>
      <c r="N89" s="6">
        <f t="shared" si="31"/>
        <v>-0.62330935251798558</v>
      </c>
      <c r="O89" s="11"/>
      <c r="P89" s="7">
        <v>148.21</v>
      </c>
      <c r="Q89" s="2"/>
      <c r="R89" s="6">
        <f t="shared" si="32"/>
        <v>2.7742808972567635E-5</v>
      </c>
      <c r="S89" s="2"/>
      <c r="T89" s="7">
        <v>816</v>
      </c>
      <c r="U89" s="2"/>
      <c r="V89" s="6">
        <f t="shared" si="33"/>
        <v>1.2216397309578031E-4</v>
      </c>
      <c r="W89" s="2"/>
      <c r="X89" s="7">
        <f t="shared" si="34"/>
        <v>-667.79</v>
      </c>
      <c r="Y89" s="2"/>
      <c r="Z89" s="6">
        <f t="shared" si="35"/>
        <v>-0.81837009803921568</v>
      </c>
    </row>
    <row r="90" spans="1:26" s="28" customFormat="1" outlineLevel="1" collapsed="1" x14ac:dyDescent="0.25">
      <c r="A90" s="27"/>
      <c r="B90" s="14" t="str">
        <f>CONCATENATE("     ","Bank/card Fees                                    ")</f>
        <v xml:space="preserve">     Bank/card Fees                                    </v>
      </c>
      <c r="C90" s="14"/>
      <c r="D90" s="1">
        <f>SUM(OSRRefD22_4x_0)</f>
        <v>17061.310000000001</v>
      </c>
      <c r="E90" s="1"/>
      <c r="F90" s="5">
        <f t="shared" si="28"/>
        <v>7.26135874462807E-3</v>
      </c>
      <c r="G90" s="1"/>
      <c r="H90" s="1">
        <f>SUM(OSRRefH22_4x_0)</f>
        <v>26207.5</v>
      </c>
      <c r="I90" s="1"/>
      <c r="J90" s="5">
        <f t="shared" si="29"/>
        <v>1.098673752062568E-2</v>
      </c>
      <c r="K90" s="1"/>
      <c r="L90" s="1">
        <f t="shared" si="30"/>
        <v>-9146.1899999999987</v>
      </c>
      <c r="M90" s="1"/>
      <c r="N90" s="5">
        <f t="shared" si="31"/>
        <v>-0.34899131927883237</v>
      </c>
      <c r="O90" s="14"/>
      <c r="P90" s="1">
        <f>SUM(OSRRefP22_4x_0)</f>
        <v>48505.73</v>
      </c>
      <c r="Q90" s="1"/>
      <c r="R90" s="5">
        <f t="shared" si="32"/>
        <v>9.0795843834082929E-3</v>
      </c>
      <c r="S90" s="1"/>
      <c r="T90" s="1">
        <f>SUM(OSRRefT22_4x_0)</f>
        <v>93584.75</v>
      </c>
      <c r="U90" s="1"/>
      <c r="V90" s="5">
        <f t="shared" si="33"/>
        <v>1.4010643236734467E-2</v>
      </c>
      <c r="W90" s="1"/>
      <c r="X90" s="1">
        <f t="shared" si="34"/>
        <v>-45079.02</v>
      </c>
      <c r="Y90" s="1"/>
      <c r="Z90" s="5">
        <f t="shared" si="35"/>
        <v>-0.48169194233034757</v>
      </c>
    </row>
    <row r="91" spans="1:26" s="24" customFormat="1" hidden="1" outlineLevel="2" x14ac:dyDescent="0.25">
      <c r="A91" s="29"/>
      <c r="B91" s="11" t="str">
        <f>CONCATENATE("          ", "6381", " - ", "BANK/CREDIT CARD FEES")</f>
        <v xml:space="preserve">          6381 - BANK/CREDIT CARD FEES</v>
      </c>
      <c r="C91" s="11"/>
      <c r="D91" s="7">
        <v>17061.310000000001</v>
      </c>
      <c r="E91" s="2"/>
      <c r="F91" s="6">
        <f t="shared" si="28"/>
        <v>7.26135874462807E-3</v>
      </c>
      <c r="G91" s="2"/>
      <c r="H91" s="7">
        <v>26207.5</v>
      </c>
      <c r="I91" s="2"/>
      <c r="J91" s="6">
        <f t="shared" si="29"/>
        <v>1.098673752062568E-2</v>
      </c>
      <c r="K91" s="2"/>
      <c r="L91" s="7">
        <f t="shared" si="30"/>
        <v>-9146.1899999999987</v>
      </c>
      <c r="M91" s="2"/>
      <c r="N91" s="6">
        <f t="shared" si="31"/>
        <v>-0.34899131927883237</v>
      </c>
      <c r="O91" s="11"/>
      <c r="P91" s="7">
        <v>48505.73</v>
      </c>
      <c r="Q91" s="2"/>
      <c r="R91" s="6">
        <f t="shared" si="32"/>
        <v>9.0795843834082929E-3</v>
      </c>
      <c r="S91" s="2"/>
      <c r="T91" s="7">
        <v>93584.75</v>
      </c>
      <c r="U91" s="2"/>
      <c r="V91" s="6">
        <f t="shared" si="33"/>
        <v>1.4010643236734467E-2</v>
      </c>
      <c r="W91" s="2"/>
      <c r="X91" s="7">
        <f t="shared" si="34"/>
        <v>-45079.02</v>
      </c>
      <c r="Y91" s="2"/>
      <c r="Z91" s="6">
        <f t="shared" si="35"/>
        <v>-0.48169194233034757</v>
      </c>
    </row>
    <row r="92" spans="1:26" s="28" customFormat="1" outlineLevel="1" collapsed="1" x14ac:dyDescent="0.25">
      <c r="A92" s="27"/>
      <c r="B92" s="14" t="str">
        <f>CONCATENATE("     ","Depreciation                                      ")</f>
        <v xml:space="preserve">     Depreciation                                      </v>
      </c>
      <c r="C92" s="14"/>
      <c r="D92" s="1">
        <f>SUM(OSRRefD22_5x_0)</f>
        <v>71678.73</v>
      </c>
      <c r="E92" s="1"/>
      <c r="F92" s="5">
        <f t="shared" si="28"/>
        <v>3.0506741445371681E-2</v>
      </c>
      <c r="G92" s="1"/>
      <c r="H92" s="1">
        <f>SUM(OSRRefH22_5x_0)</f>
        <v>71002</v>
      </c>
      <c r="I92" s="1"/>
      <c r="J92" s="5">
        <f t="shared" si="29"/>
        <v>2.9765538011617455E-2</v>
      </c>
      <c r="K92" s="1"/>
      <c r="L92" s="1">
        <f t="shared" si="30"/>
        <v>676.72999999999593</v>
      </c>
      <c r="M92" s="1"/>
      <c r="N92" s="5">
        <f t="shared" si="31"/>
        <v>9.5311399678881716E-3</v>
      </c>
      <c r="O92" s="14"/>
      <c r="P92" s="1">
        <f>SUM(OSRRefP22_5x_0)</f>
        <v>215124.34999999998</v>
      </c>
      <c r="Q92" s="1"/>
      <c r="R92" s="5">
        <f t="shared" si="32"/>
        <v>4.0268225810659058E-2</v>
      </c>
      <c r="S92" s="1"/>
      <c r="T92" s="1">
        <f>SUM(OSRRefT22_5x_0)</f>
        <v>213096</v>
      </c>
      <c r="U92" s="1"/>
      <c r="V92" s="5">
        <f t="shared" si="33"/>
        <v>3.1902762268159801E-2</v>
      </c>
      <c r="W92" s="1"/>
      <c r="X92" s="1">
        <f t="shared" si="34"/>
        <v>2028.3499999999767</v>
      </c>
      <c r="Y92" s="1"/>
      <c r="Z92" s="5">
        <f t="shared" si="35"/>
        <v>9.518479933926384E-3</v>
      </c>
    </row>
    <row r="93" spans="1:26" s="24" customFormat="1" hidden="1" outlineLevel="2" x14ac:dyDescent="0.25">
      <c r="A93" s="29"/>
      <c r="B93" s="11" t="str">
        <f>CONCATENATE("          ", "6321", " - ", "BUILDING DEPRECIATION")</f>
        <v xml:space="preserve">          6321 - BUILDING DEPRECIATION</v>
      </c>
      <c r="C93" s="11"/>
      <c r="D93" s="7">
        <v>45016.43</v>
      </c>
      <c r="E93" s="2"/>
      <c r="F93" s="6">
        <f t="shared" si="28"/>
        <v>1.915916466159031E-2</v>
      </c>
      <c r="G93" s="2"/>
      <c r="H93" s="7"/>
      <c r="I93" s="2"/>
      <c r="J93" s="6">
        <f t="shared" si="29"/>
        <v>0</v>
      </c>
      <c r="K93" s="2"/>
      <c r="L93" s="7">
        <f t="shared" si="30"/>
        <v>45016.43</v>
      </c>
      <c r="M93" s="2"/>
      <c r="N93" s="6">
        <f t="shared" si="31"/>
        <v>0</v>
      </c>
      <c r="O93" s="11"/>
      <c r="P93" s="7">
        <v>135137.43</v>
      </c>
      <c r="Q93" s="2"/>
      <c r="R93" s="6">
        <f t="shared" si="32"/>
        <v>2.5295809361944067E-2</v>
      </c>
      <c r="S93" s="2"/>
      <c r="T93" s="7"/>
      <c r="U93" s="2"/>
      <c r="V93" s="6">
        <f t="shared" si="33"/>
        <v>0</v>
      </c>
      <c r="W93" s="2"/>
      <c r="X93" s="7">
        <f t="shared" si="34"/>
        <v>135137.43</v>
      </c>
      <c r="Y93" s="2"/>
      <c r="Z93" s="6">
        <f t="shared" si="35"/>
        <v>0</v>
      </c>
    </row>
    <row r="94" spans="1:26" s="24" customFormat="1" hidden="1" outlineLevel="2" x14ac:dyDescent="0.25">
      <c r="A94" s="29"/>
      <c r="B94" s="11" t="str">
        <f>CONCATENATE("          ", "6322", " - ", "EQUIPMENT DEPRECIATION EXPENSE")</f>
        <v xml:space="preserve">          6322 - EQUIPMENT DEPRECIATION EXPENSE</v>
      </c>
      <c r="C94" s="11"/>
      <c r="D94" s="7">
        <v>26662.3</v>
      </c>
      <c r="E94" s="2"/>
      <c r="F94" s="6">
        <f t="shared" si="28"/>
        <v>1.1347576783781373E-2</v>
      </c>
      <c r="G94" s="2"/>
      <c r="H94" s="7">
        <v>71002</v>
      </c>
      <c r="I94" s="2"/>
      <c r="J94" s="6">
        <f t="shared" si="29"/>
        <v>2.9765538011617455E-2</v>
      </c>
      <c r="K94" s="2"/>
      <c r="L94" s="7">
        <f t="shared" si="30"/>
        <v>-44339.7</v>
      </c>
      <c r="M94" s="2"/>
      <c r="N94" s="6">
        <f t="shared" si="31"/>
        <v>-0.62448522576828813</v>
      </c>
      <c r="O94" s="11"/>
      <c r="P94" s="7">
        <v>79986.92</v>
      </c>
      <c r="Q94" s="2"/>
      <c r="R94" s="6">
        <f t="shared" si="32"/>
        <v>1.4972416448714995E-2</v>
      </c>
      <c r="S94" s="2"/>
      <c r="T94" s="7">
        <v>213096</v>
      </c>
      <c r="U94" s="2"/>
      <c r="V94" s="6">
        <f t="shared" si="33"/>
        <v>3.1902762268159801E-2</v>
      </c>
      <c r="W94" s="2"/>
      <c r="X94" s="7">
        <f t="shared" si="34"/>
        <v>-133109.08000000002</v>
      </c>
      <c r="Y94" s="2"/>
      <c r="Z94" s="6">
        <f t="shared" si="35"/>
        <v>-0.62464372864812112</v>
      </c>
    </row>
    <row r="95" spans="1:26" s="28" customFormat="1" outlineLevel="1" collapsed="1" x14ac:dyDescent="0.25">
      <c r="A95" s="27"/>
      <c r="B95" s="14" t="str">
        <f>CONCATENATE("     ","Discounts and Markdowns                           ")</f>
        <v xml:space="preserve">     Discounts and Markdowns                           </v>
      </c>
      <c r="C95" s="14"/>
      <c r="D95" s="1">
        <f>SUM(OSRRefD22_6x_0)</f>
        <v>135.49</v>
      </c>
      <c r="E95" s="1"/>
      <c r="F95" s="5">
        <f t="shared" ref="F95:F97" si="36">IF(D$12=0,0,D95/D$12)</f>
        <v>5.7665061845172339E-5</v>
      </c>
      <c r="G95" s="1"/>
      <c r="H95" s="1">
        <f>SUM(OSRRefH22_6x_0)</f>
        <v>0</v>
      </c>
      <c r="I95" s="1"/>
      <c r="J95" s="5">
        <f t="shared" ref="J95:J97" si="37">IF(H$12=0,0,H95/H$12)</f>
        <v>0</v>
      </c>
      <c r="K95" s="1"/>
      <c r="L95" s="1">
        <f t="shared" ref="L95:L97" si="38">+D95-H95</f>
        <v>135.49</v>
      </c>
      <c r="M95" s="1"/>
      <c r="N95" s="5">
        <f t="shared" ref="N95:N97" si="39">IF(H95=0,0,L95/H95)</f>
        <v>0</v>
      </c>
      <c r="O95" s="14"/>
      <c r="P95" s="1">
        <f>SUM(OSRRefP22_6x_0)</f>
        <v>-22.49</v>
      </c>
      <c r="Q95" s="1"/>
      <c r="R95" s="5">
        <f t="shared" ref="R95:R97" si="40">IF(P$12=0,0,P95/P$12)</f>
        <v>-4.2098088778965393E-6</v>
      </c>
      <c r="S95" s="1"/>
      <c r="T95" s="1">
        <f>SUM(OSRRefT22_6x_0)</f>
        <v>0</v>
      </c>
      <c r="U95" s="1"/>
      <c r="V95" s="5">
        <f t="shared" ref="V95:V97" si="41">IF(T$12=0,0,T95/T$12)</f>
        <v>0</v>
      </c>
      <c r="W95" s="1"/>
      <c r="X95" s="1">
        <f t="shared" ref="X95:X97" si="42">+P95-T95</f>
        <v>-22.49</v>
      </c>
      <c r="Y95" s="1"/>
      <c r="Z95" s="5">
        <f t="shared" ref="Z95:Z97" si="43">IF(T95=0,0,X95/T95)</f>
        <v>0</v>
      </c>
    </row>
    <row r="96" spans="1:26" s="24" customFormat="1" hidden="1" outlineLevel="2" x14ac:dyDescent="0.25">
      <c r="A96" s="29"/>
      <c r="B96" s="11" t="str">
        <f>CONCATENATE("          ", "6382", " - ", "DISCOUNTS/MARK DOWNS")</f>
        <v xml:space="preserve">          6382 - DISCOUNTS/MARK DOWNS</v>
      </c>
      <c r="C96" s="11"/>
      <c r="D96" s="7"/>
      <c r="E96" s="2"/>
      <c r="F96" s="6">
        <f t="shared" si="36"/>
        <v>0</v>
      </c>
      <c r="G96" s="2"/>
      <c r="H96" s="7"/>
      <c r="I96" s="2"/>
      <c r="J96" s="6">
        <f t="shared" si="37"/>
        <v>0</v>
      </c>
      <c r="K96" s="2"/>
      <c r="L96" s="7">
        <f t="shared" si="38"/>
        <v>0</v>
      </c>
      <c r="M96" s="2"/>
      <c r="N96" s="6">
        <f t="shared" si="39"/>
        <v>0</v>
      </c>
      <c r="O96" s="11"/>
      <c r="P96" s="7"/>
      <c r="Q96" s="2"/>
      <c r="R96" s="6">
        <f t="shared" si="40"/>
        <v>0</v>
      </c>
      <c r="S96" s="2"/>
      <c r="T96" s="7">
        <v>0</v>
      </c>
      <c r="U96" s="2"/>
      <c r="V96" s="6">
        <f t="shared" si="41"/>
        <v>0</v>
      </c>
      <c r="W96" s="2"/>
      <c r="X96" s="7">
        <f t="shared" si="42"/>
        <v>0</v>
      </c>
      <c r="Y96" s="2"/>
      <c r="Z96" s="6">
        <f t="shared" si="43"/>
        <v>0</v>
      </c>
    </row>
    <row r="97" spans="1:26" s="24" customFormat="1" hidden="1" outlineLevel="2" x14ac:dyDescent="0.25">
      <c r="A97" s="29"/>
      <c r="B97" s="11" t="str">
        <f>CONCATENATE("          ", "9175", " - ", "EARNED DISCOUNTS")</f>
        <v xml:space="preserve">          9175 - EARNED DISCOUNTS</v>
      </c>
      <c r="C97" s="11"/>
      <c r="D97" s="7">
        <v>135.49</v>
      </c>
      <c r="E97" s="2"/>
      <c r="F97" s="6">
        <f t="shared" si="36"/>
        <v>5.7665061845172339E-5</v>
      </c>
      <c r="G97" s="2"/>
      <c r="H97" s="7"/>
      <c r="I97" s="2"/>
      <c r="J97" s="6">
        <f t="shared" si="37"/>
        <v>0</v>
      </c>
      <c r="K97" s="2"/>
      <c r="L97" s="7">
        <f t="shared" si="38"/>
        <v>135.49</v>
      </c>
      <c r="M97" s="2"/>
      <c r="N97" s="6">
        <f t="shared" si="39"/>
        <v>0</v>
      </c>
      <c r="O97" s="11"/>
      <c r="P97" s="7">
        <v>-22.49</v>
      </c>
      <c r="Q97" s="2"/>
      <c r="R97" s="6">
        <f t="shared" si="40"/>
        <v>-4.2098088778965393E-6</v>
      </c>
      <c r="S97" s="2"/>
      <c r="T97" s="7"/>
      <c r="U97" s="2"/>
      <c r="V97" s="6">
        <f t="shared" si="41"/>
        <v>0</v>
      </c>
      <c r="W97" s="2"/>
      <c r="X97" s="7">
        <f t="shared" si="42"/>
        <v>-22.49</v>
      </c>
      <c r="Y97" s="2"/>
      <c r="Z97" s="6">
        <f t="shared" si="43"/>
        <v>0</v>
      </c>
    </row>
    <row r="98" spans="1:26" s="28" customFormat="1" outlineLevel="1" collapsed="1" x14ac:dyDescent="0.25">
      <c r="A98" s="27"/>
      <c r="B98" s="14" t="str">
        <f>CONCATENATE("     ","Donations                                         ")</f>
        <v xml:space="preserve">     Donations                                         </v>
      </c>
      <c r="C98" s="14"/>
      <c r="D98" s="1">
        <f>SUM(OSRRefD22_7x_0)</f>
        <v>9653.6200000000008</v>
      </c>
      <c r="E98" s="1"/>
      <c r="F98" s="5">
        <f t="shared" ref="F98:F106" si="44">IF(D$12=0,0,D98/D$12)</f>
        <v>4.1086175683060933E-3</v>
      </c>
      <c r="G98" s="1"/>
      <c r="H98" s="1">
        <f>SUM(OSRRefH22_7x_0)</f>
        <v>16750</v>
      </c>
      <c r="I98" s="1"/>
      <c r="J98" s="5">
        <f t="shared" ref="J98:J106" si="45">IF(H$12=0,0,H98/H$12)</f>
        <v>7.0219537716485784E-3</v>
      </c>
      <c r="K98" s="1"/>
      <c r="L98" s="1">
        <f t="shared" ref="L98:L106" si="46">+D98-H98</f>
        <v>-7096.3799999999992</v>
      </c>
      <c r="M98" s="1"/>
      <c r="N98" s="5">
        <f t="shared" ref="N98:N106" si="47">IF(H98=0,0,L98/H98)</f>
        <v>-0.42366447761194026</v>
      </c>
      <c r="O98" s="14"/>
      <c r="P98" s="1">
        <f>SUM(OSRRefP22_7x_0)</f>
        <v>13915.18</v>
      </c>
      <c r="Q98" s="1"/>
      <c r="R98" s="5">
        <f t="shared" ref="R98:R106" si="48">IF(P$12=0,0,P98/P$12)</f>
        <v>2.6047242463996608E-3</v>
      </c>
      <c r="S98" s="1"/>
      <c r="T98" s="1">
        <f>SUM(OSRRefT22_7x_0)</f>
        <v>34750</v>
      </c>
      <c r="U98" s="1"/>
      <c r="V98" s="5">
        <f t="shared" ref="V98:V106" si="49">IF(T$12=0,0,T98/T$12)</f>
        <v>5.2024486091646633E-3</v>
      </c>
      <c r="W98" s="1"/>
      <c r="X98" s="1">
        <f t="shared" ref="X98:X106" si="50">+P98-T98</f>
        <v>-20834.82</v>
      </c>
      <c r="Y98" s="1"/>
      <c r="Z98" s="5">
        <f t="shared" ref="Z98:Z106" si="51">IF(T98=0,0,X98/T98)</f>
        <v>-0.59956316546762589</v>
      </c>
    </row>
    <row r="99" spans="1:26" s="24" customFormat="1" hidden="1" outlineLevel="2" x14ac:dyDescent="0.25">
      <c r="A99" s="29"/>
      <c r="B99" s="11" t="str">
        <f>CONCATENATE("          ", "6399", " - ", "DONATION-ON CAMPUS")</f>
        <v xml:space="preserve">          6399 - DONATION-ON CAMPUS</v>
      </c>
      <c r="C99" s="11"/>
      <c r="D99" s="7">
        <v>9653.6200000000008</v>
      </c>
      <c r="E99" s="2"/>
      <c r="F99" s="6">
        <f t="shared" si="44"/>
        <v>4.1086175683060933E-3</v>
      </c>
      <c r="G99" s="2"/>
      <c r="H99" s="7">
        <v>16750</v>
      </c>
      <c r="I99" s="2"/>
      <c r="J99" s="6">
        <f t="shared" si="45"/>
        <v>7.0219537716485784E-3</v>
      </c>
      <c r="K99" s="2"/>
      <c r="L99" s="7">
        <f t="shared" si="46"/>
        <v>-7096.3799999999992</v>
      </c>
      <c r="M99" s="2"/>
      <c r="N99" s="6">
        <f t="shared" si="47"/>
        <v>-0.42366447761194026</v>
      </c>
      <c r="O99" s="11"/>
      <c r="P99" s="7">
        <v>13915.18</v>
      </c>
      <c r="Q99" s="2"/>
      <c r="R99" s="6">
        <f t="shared" si="48"/>
        <v>2.6047242463996608E-3</v>
      </c>
      <c r="S99" s="2"/>
      <c r="T99" s="7">
        <v>34750</v>
      </c>
      <c r="U99" s="2"/>
      <c r="V99" s="6">
        <f t="shared" si="49"/>
        <v>5.2024486091646633E-3</v>
      </c>
      <c r="W99" s="2"/>
      <c r="X99" s="7">
        <f t="shared" si="50"/>
        <v>-20834.82</v>
      </c>
      <c r="Y99" s="2"/>
      <c r="Z99" s="6">
        <f t="shared" si="51"/>
        <v>-0.59956316546762589</v>
      </c>
    </row>
    <row r="100" spans="1:26" s="28" customFormat="1" outlineLevel="1" collapsed="1" x14ac:dyDescent="0.25">
      <c r="A100" s="27"/>
      <c r="B100" s="14" t="str">
        <f>CONCATENATE("     ","Employees' Appreciation                           ")</f>
        <v xml:space="preserve">     Employees' Appreciation                           </v>
      </c>
      <c r="C100" s="14"/>
      <c r="D100" s="1">
        <f>SUM(OSRRefD22_8x_0)</f>
        <v>461.76</v>
      </c>
      <c r="E100" s="1"/>
      <c r="F100" s="5">
        <f t="shared" si="44"/>
        <v>1.9652682085487323E-4</v>
      </c>
      <c r="G100" s="1"/>
      <c r="H100" s="1">
        <f>SUM(OSRRefH22_8x_0)</f>
        <v>665</v>
      </c>
      <c r="I100" s="1"/>
      <c r="J100" s="5">
        <f t="shared" si="45"/>
        <v>2.7878204526246596E-4</v>
      </c>
      <c r="K100" s="1"/>
      <c r="L100" s="1">
        <f t="shared" si="46"/>
        <v>-203.24</v>
      </c>
      <c r="M100" s="1"/>
      <c r="N100" s="5">
        <f t="shared" si="47"/>
        <v>-0.30562406015037596</v>
      </c>
      <c r="O100" s="14"/>
      <c r="P100" s="1">
        <f>SUM(OSRRefP22_8x_0)</f>
        <v>1417.12</v>
      </c>
      <c r="Q100" s="1"/>
      <c r="R100" s="5">
        <f t="shared" si="48"/>
        <v>2.6526475576010421E-4</v>
      </c>
      <c r="S100" s="1"/>
      <c r="T100" s="1">
        <f>SUM(OSRRefT22_8x_0)</f>
        <v>1635</v>
      </c>
      <c r="U100" s="1"/>
      <c r="V100" s="5">
        <f t="shared" si="49"/>
        <v>2.4477707844558922E-4</v>
      </c>
      <c r="W100" s="1"/>
      <c r="X100" s="1">
        <f t="shared" si="50"/>
        <v>-217.88000000000011</v>
      </c>
      <c r="Y100" s="1"/>
      <c r="Z100" s="5">
        <f t="shared" si="51"/>
        <v>-0.13325993883792056</v>
      </c>
    </row>
    <row r="101" spans="1:26" s="24" customFormat="1" hidden="1" outlineLevel="2" x14ac:dyDescent="0.25">
      <c r="A101" s="29"/>
      <c r="B101" s="11" t="str">
        <f>CONCATENATE("          ", "6277", " - ", "EMPLOYEE APPRECIATION")</f>
        <v xml:space="preserve">          6277 - EMPLOYEE APPRECIATION</v>
      </c>
      <c r="C101" s="11"/>
      <c r="D101" s="7">
        <v>461.76</v>
      </c>
      <c r="E101" s="2"/>
      <c r="F101" s="6">
        <f t="shared" si="44"/>
        <v>1.9652682085487323E-4</v>
      </c>
      <c r="G101" s="2"/>
      <c r="H101" s="7">
        <v>665</v>
      </c>
      <c r="I101" s="2"/>
      <c r="J101" s="6">
        <f t="shared" si="45"/>
        <v>2.7878204526246596E-4</v>
      </c>
      <c r="K101" s="2"/>
      <c r="L101" s="7">
        <f t="shared" si="46"/>
        <v>-203.24</v>
      </c>
      <c r="M101" s="2"/>
      <c r="N101" s="6">
        <f t="shared" si="47"/>
        <v>-0.30562406015037596</v>
      </c>
      <c r="O101" s="11"/>
      <c r="P101" s="7">
        <v>1417.12</v>
      </c>
      <c r="Q101" s="2"/>
      <c r="R101" s="6">
        <f t="shared" si="48"/>
        <v>2.6526475576010421E-4</v>
      </c>
      <c r="S101" s="2"/>
      <c r="T101" s="7">
        <v>1635</v>
      </c>
      <c r="U101" s="2"/>
      <c r="V101" s="6">
        <f t="shared" si="49"/>
        <v>2.4477707844558922E-4</v>
      </c>
      <c r="W101" s="2"/>
      <c r="X101" s="7">
        <f t="shared" si="50"/>
        <v>-217.88000000000011</v>
      </c>
      <c r="Y101" s="2"/>
      <c r="Z101" s="6">
        <f t="shared" si="51"/>
        <v>-0.13325993883792056</v>
      </c>
    </row>
    <row r="102" spans="1:26" s="28" customFormat="1" outlineLevel="1" collapsed="1" x14ac:dyDescent="0.25">
      <c r="A102" s="27"/>
      <c r="B102" s="14" t="str">
        <f>CONCATENATE("     ","Equipment Rental                                  ")</f>
        <v xml:space="preserve">     Equipment Rental                                  </v>
      </c>
      <c r="C102" s="14"/>
      <c r="D102" s="1">
        <f>SUM(OSRRefD22_9x_0)</f>
        <v>1799.62</v>
      </c>
      <c r="E102" s="1"/>
      <c r="F102" s="5">
        <f t="shared" si="44"/>
        <v>7.6592515017941565E-4</v>
      </c>
      <c r="G102" s="1"/>
      <c r="H102" s="1">
        <f>SUM(OSRRefH22_9x_0)</f>
        <v>3446</v>
      </c>
      <c r="I102" s="1"/>
      <c r="J102" s="5">
        <f t="shared" si="45"/>
        <v>1.4446359819164777E-3</v>
      </c>
      <c r="K102" s="1"/>
      <c r="L102" s="1">
        <f t="shared" si="46"/>
        <v>-1646.38</v>
      </c>
      <c r="M102" s="1"/>
      <c r="N102" s="5">
        <f t="shared" si="47"/>
        <v>-0.47776552524666283</v>
      </c>
      <c r="O102" s="14"/>
      <c r="P102" s="1">
        <f>SUM(OSRRefP22_9x_0)</f>
        <v>12089.09</v>
      </c>
      <c r="Q102" s="1"/>
      <c r="R102" s="5">
        <f t="shared" si="48"/>
        <v>2.2629061097238896E-3</v>
      </c>
      <c r="S102" s="1"/>
      <c r="T102" s="1">
        <f>SUM(OSRRefT22_9x_0)</f>
        <v>10138</v>
      </c>
      <c r="U102" s="1"/>
      <c r="V102" s="5">
        <f t="shared" si="49"/>
        <v>1.517767597113996E-3</v>
      </c>
      <c r="W102" s="1"/>
      <c r="X102" s="1">
        <f t="shared" si="50"/>
        <v>1951.0900000000001</v>
      </c>
      <c r="Y102" s="1"/>
      <c r="Z102" s="5">
        <f t="shared" si="51"/>
        <v>0.1924531465772342</v>
      </c>
    </row>
    <row r="103" spans="1:26" s="24" customFormat="1" hidden="1" outlineLevel="2" x14ac:dyDescent="0.25">
      <c r="A103" s="29"/>
      <c r="B103" s="11" t="str">
        <f>CONCATENATE("          ", "6351", " - ", "EQUIPMENT RENTAL")</f>
        <v xml:space="preserve">          6351 - EQUIPMENT RENTAL</v>
      </c>
      <c r="C103" s="11"/>
      <c r="D103" s="7">
        <v>1799.62</v>
      </c>
      <c r="E103" s="2"/>
      <c r="F103" s="6">
        <f t="shared" si="44"/>
        <v>7.6592515017941565E-4</v>
      </c>
      <c r="G103" s="2"/>
      <c r="H103" s="7">
        <v>3446</v>
      </c>
      <c r="I103" s="2"/>
      <c r="J103" s="6">
        <f t="shared" si="45"/>
        <v>1.4446359819164777E-3</v>
      </c>
      <c r="K103" s="2"/>
      <c r="L103" s="7">
        <f t="shared" si="46"/>
        <v>-1646.38</v>
      </c>
      <c r="M103" s="2"/>
      <c r="N103" s="6">
        <f t="shared" si="47"/>
        <v>-0.47776552524666283</v>
      </c>
      <c r="O103" s="11"/>
      <c r="P103" s="7">
        <v>12089.09</v>
      </c>
      <c r="Q103" s="2"/>
      <c r="R103" s="6">
        <f t="shared" si="48"/>
        <v>2.2629061097238896E-3</v>
      </c>
      <c r="S103" s="2"/>
      <c r="T103" s="7">
        <v>10138</v>
      </c>
      <c r="U103" s="2"/>
      <c r="V103" s="6">
        <f t="shared" si="49"/>
        <v>1.517767597113996E-3</v>
      </c>
      <c r="W103" s="2"/>
      <c r="X103" s="7">
        <f t="shared" si="50"/>
        <v>1951.0900000000001</v>
      </c>
      <c r="Y103" s="2"/>
      <c r="Z103" s="6">
        <f t="shared" si="51"/>
        <v>0.1924531465772342</v>
      </c>
    </row>
    <row r="104" spans="1:26" s="28" customFormat="1" outlineLevel="1" collapsed="1" x14ac:dyDescent="0.25">
      <c r="A104" s="27"/>
      <c r="B104" s="14" t="str">
        <f>CONCATENATE("     ","Freight out/Postage                               ")</f>
        <v xml:space="preserve">     Freight out/Postage                               </v>
      </c>
      <c r="C104" s="14"/>
      <c r="D104" s="1">
        <f>SUM(OSRRefD22_10x_0)</f>
        <v>3676.619999999999</v>
      </c>
      <c r="E104" s="1"/>
      <c r="F104" s="5">
        <f t="shared" si="44"/>
        <v>1.5647835241065573E-3</v>
      </c>
      <c r="G104" s="1"/>
      <c r="H104" s="1">
        <f>SUM(OSRRefH22_10x_0)</f>
        <v>-10125</v>
      </c>
      <c r="I104" s="1"/>
      <c r="J104" s="5">
        <f t="shared" si="45"/>
        <v>-4.2446138470413047E-3</v>
      </c>
      <c r="K104" s="1"/>
      <c r="L104" s="1">
        <f t="shared" si="46"/>
        <v>13801.619999999999</v>
      </c>
      <c r="M104" s="1"/>
      <c r="N104" s="5">
        <f t="shared" si="47"/>
        <v>-1.3631229629629629</v>
      </c>
      <c r="O104" s="14"/>
      <c r="P104" s="1">
        <f>SUM(OSRRefP22_10x_0)</f>
        <v>-12013.119999999999</v>
      </c>
      <c r="Q104" s="1"/>
      <c r="R104" s="5">
        <f t="shared" si="48"/>
        <v>-2.2486856037010434E-3</v>
      </c>
      <c r="S104" s="1"/>
      <c r="T104" s="1">
        <f>SUM(OSRRefT22_10x_0)</f>
        <v>-47175</v>
      </c>
      <c r="U104" s="1"/>
      <c r="V104" s="5">
        <f t="shared" si="49"/>
        <v>-7.0626046945997988E-3</v>
      </c>
      <c r="W104" s="1"/>
      <c r="X104" s="1">
        <f t="shared" si="50"/>
        <v>35161.880000000005</v>
      </c>
      <c r="Y104" s="1"/>
      <c r="Z104" s="5">
        <f t="shared" si="51"/>
        <v>-0.74534986751457355</v>
      </c>
    </row>
    <row r="105" spans="1:26" s="24" customFormat="1" hidden="1" outlineLevel="2" x14ac:dyDescent="0.25">
      <c r="A105" s="29"/>
      <c r="B105" s="11" t="str">
        <f>CONCATENATE("          ", "6305", " - ", "FREIGHT OUT")</f>
        <v xml:space="preserve">          6305 - FREIGHT OUT</v>
      </c>
      <c r="C105" s="11"/>
      <c r="D105" s="7">
        <v>13314.15</v>
      </c>
      <c r="E105" s="2"/>
      <c r="F105" s="6">
        <f t="shared" si="44"/>
        <v>5.6665531269163866E-3</v>
      </c>
      <c r="G105" s="2"/>
      <c r="H105" s="7">
        <v>1365</v>
      </c>
      <c r="I105" s="2"/>
      <c r="J105" s="6">
        <f t="shared" si="45"/>
        <v>5.7223682974927228E-4</v>
      </c>
      <c r="K105" s="2"/>
      <c r="L105" s="7">
        <f t="shared" si="46"/>
        <v>11949.15</v>
      </c>
      <c r="M105" s="2"/>
      <c r="N105" s="6">
        <f t="shared" si="47"/>
        <v>8.7539560439560429</v>
      </c>
      <c r="O105" s="11"/>
      <c r="P105" s="7">
        <v>28696.49</v>
      </c>
      <c r="Q105" s="2"/>
      <c r="R105" s="6">
        <f t="shared" si="48"/>
        <v>5.3715757388381174E-3</v>
      </c>
      <c r="S105" s="2"/>
      <c r="T105" s="7">
        <v>18095</v>
      </c>
      <c r="U105" s="2"/>
      <c r="V105" s="6">
        <f t="shared" si="49"/>
        <v>2.7090160455491966E-3</v>
      </c>
      <c r="W105" s="2"/>
      <c r="X105" s="7">
        <f t="shared" si="50"/>
        <v>10601.490000000002</v>
      </c>
      <c r="Y105" s="2"/>
      <c r="Z105" s="6">
        <f t="shared" si="51"/>
        <v>0.58587952473058869</v>
      </c>
    </row>
    <row r="106" spans="1:26" s="24" customFormat="1" hidden="1" outlineLevel="2" x14ac:dyDescent="0.25">
      <c r="A106" s="29"/>
      <c r="B106" s="11" t="str">
        <f>CONCATENATE("          ", "6307", " - ", "POSTAGE")</f>
        <v xml:space="preserve">          6307 - POSTAGE</v>
      </c>
      <c r="C106" s="11"/>
      <c r="D106" s="7">
        <v>-9637.5300000000007</v>
      </c>
      <c r="E106" s="2"/>
      <c r="F106" s="6">
        <f t="shared" si="44"/>
        <v>-4.1017696028098289E-3</v>
      </c>
      <c r="G106" s="2"/>
      <c r="H106" s="7">
        <v>-11490</v>
      </c>
      <c r="I106" s="2"/>
      <c r="J106" s="6">
        <f t="shared" si="45"/>
        <v>-4.8168506767905768E-3</v>
      </c>
      <c r="K106" s="2"/>
      <c r="L106" s="7">
        <f t="shared" si="46"/>
        <v>1852.4699999999993</v>
      </c>
      <c r="M106" s="2"/>
      <c r="N106" s="6">
        <f t="shared" si="47"/>
        <v>-0.16122454308093989</v>
      </c>
      <c r="O106" s="11"/>
      <c r="P106" s="7">
        <v>-40709.61</v>
      </c>
      <c r="Q106" s="2"/>
      <c r="R106" s="6">
        <f t="shared" si="48"/>
        <v>-7.6202613425391608E-3</v>
      </c>
      <c r="S106" s="2"/>
      <c r="T106" s="7">
        <v>-65270</v>
      </c>
      <c r="U106" s="2"/>
      <c r="V106" s="6">
        <f t="shared" si="49"/>
        <v>-9.7716207401489959E-3</v>
      </c>
      <c r="W106" s="2"/>
      <c r="X106" s="7">
        <f t="shared" si="50"/>
        <v>24560.39</v>
      </c>
      <c r="Y106" s="2"/>
      <c r="Z106" s="6">
        <f t="shared" si="51"/>
        <v>-0.37628910678719163</v>
      </c>
    </row>
    <row r="107" spans="1:26" s="28" customFormat="1" outlineLevel="1" collapsed="1" x14ac:dyDescent="0.25">
      <c r="A107" s="27"/>
      <c r="B107" s="14" t="str">
        <f>CONCATENATE("     ","General                                           ")</f>
        <v xml:space="preserve">     General                                           </v>
      </c>
      <c r="C107" s="14"/>
      <c r="D107" s="1">
        <f>SUM(OSRRefD22_11x_0)</f>
        <v>5364.31</v>
      </c>
      <c r="E107" s="1"/>
      <c r="F107" s="5">
        <f t="shared" ref="F107:F109" si="52">IF(D$12=0,0,D107/D$12)</f>
        <v>2.2830708384875371E-3</v>
      </c>
      <c r="G107" s="1"/>
      <c r="H107" s="1">
        <f>SUM(OSRRefH22_11x_0)</f>
        <v>1140</v>
      </c>
      <c r="I107" s="1"/>
      <c r="J107" s="5">
        <f t="shared" ref="J107:J109" si="53">IF(H$12=0,0,H107/H$12)</f>
        <v>4.7791207759279876E-4</v>
      </c>
      <c r="K107" s="1"/>
      <c r="L107" s="1">
        <f t="shared" ref="L107:L109" si="54">+D107-H107</f>
        <v>4224.3100000000004</v>
      </c>
      <c r="M107" s="1"/>
      <c r="N107" s="5">
        <f t="shared" ref="N107:N109" si="55">IF(H107=0,0,L107/H107)</f>
        <v>3.7055350877192987</v>
      </c>
      <c r="O107" s="14"/>
      <c r="P107" s="1">
        <f>SUM(OSRRefP22_11x_0)</f>
        <v>26675.91</v>
      </c>
      <c r="Q107" s="1"/>
      <c r="R107" s="5">
        <f t="shared" ref="R107:R109" si="56">IF(P$12=0,0,P107/P$12)</f>
        <v>4.9933518338803502E-3</v>
      </c>
      <c r="S107" s="1"/>
      <c r="T107" s="1">
        <f>SUM(OSRRefT22_11x_0)</f>
        <v>11165</v>
      </c>
      <c r="U107" s="1"/>
      <c r="V107" s="5">
        <f t="shared" ref="V107:V109" si="57">IF(T$12=0,0,T107/T$12)</f>
        <v>1.6715205387431214E-3</v>
      </c>
      <c r="W107" s="1"/>
      <c r="X107" s="1">
        <f t="shared" ref="X107:X109" si="58">+P107-T107</f>
        <v>15510.91</v>
      </c>
      <c r="Y107" s="1"/>
      <c r="Z107" s="5">
        <f t="shared" ref="Z107:Z109" si="59">IF(T107=0,0,X107/T107)</f>
        <v>1.389244066278549</v>
      </c>
    </row>
    <row r="108" spans="1:26" s="24" customFormat="1" hidden="1" outlineLevel="2" x14ac:dyDescent="0.25">
      <c r="A108" s="29"/>
      <c r="B108" s="11" t="str">
        <f>CONCATENATE("          ", "6276", " - ", "PROPERTY TAX")</f>
        <v xml:space="preserve">          6276 - PROPERTY TAX</v>
      </c>
      <c r="C108" s="11"/>
      <c r="D108" s="7"/>
      <c r="E108" s="2"/>
      <c r="F108" s="6">
        <f t="shared" si="52"/>
        <v>0</v>
      </c>
      <c r="G108" s="2"/>
      <c r="H108" s="7"/>
      <c r="I108" s="2"/>
      <c r="J108" s="6">
        <f t="shared" si="53"/>
        <v>0</v>
      </c>
      <c r="K108" s="2"/>
      <c r="L108" s="7">
        <f t="shared" si="54"/>
        <v>0</v>
      </c>
      <c r="M108" s="2"/>
      <c r="N108" s="6">
        <f t="shared" si="55"/>
        <v>0</v>
      </c>
      <c r="O108" s="11"/>
      <c r="P108" s="7"/>
      <c r="Q108" s="2"/>
      <c r="R108" s="6">
        <f t="shared" si="56"/>
        <v>0</v>
      </c>
      <c r="S108" s="2"/>
      <c r="T108" s="7">
        <v>125</v>
      </c>
      <c r="U108" s="2"/>
      <c r="V108" s="6">
        <f t="shared" si="57"/>
        <v>1.8713843917858503E-5</v>
      </c>
      <c r="W108" s="2"/>
      <c r="X108" s="7">
        <f t="shared" si="58"/>
        <v>-125</v>
      </c>
      <c r="Y108" s="2"/>
      <c r="Z108" s="6">
        <f t="shared" si="59"/>
        <v>-1</v>
      </c>
    </row>
    <row r="109" spans="1:26" s="24" customFormat="1" hidden="1" outlineLevel="2" x14ac:dyDescent="0.25">
      <c r="A109" s="29"/>
      <c r="B109" s="11" t="str">
        <f>CONCATENATE("          ", "6279", " - ", "GENERAL EXPENSE")</f>
        <v xml:space="preserve">          6279 - GENERAL EXPENSE</v>
      </c>
      <c r="C109" s="11"/>
      <c r="D109" s="7">
        <v>5364.31</v>
      </c>
      <c r="E109" s="2"/>
      <c r="F109" s="6">
        <f t="shared" si="52"/>
        <v>2.2830708384875371E-3</v>
      </c>
      <c r="G109" s="2"/>
      <c r="H109" s="7">
        <v>1140</v>
      </c>
      <c r="I109" s="2"/>
      <c r="J109" s="6">
        <f t="shared" si="53"/>
        <v>4.7791207759279876E-4</v>
      </c>
      <c r="K109" s="2"/>
      <c r="L109" s="7">
        <f t="shared" si="54"/>
        <v>4224.3100000000004</v>
      </c>
      <c r="M109" s="2"/>
      <c r="N109" s="6">
        <f t="shared" si="55"/>
        <v>3.7055350877192987</v>
      </c>
      <c r="O109" s="11"/>
      <c r="P109" s="7">
        <v>26675.91</v>
      </c>
      <c r="Q109" s="2"/>
      <c r="R109" s="6">
        <f t="shared" si="56"/>
        <v>4.9933518338803502E-3</v>
      </c>
      <c r="S109" s="2"/>
      <c r="T109" s="7">
        <v>11040</v>
      </c>
      <c r="U109" s="2"/>
      <c r="V109" s="6">
        <f t="shared" si="57"/>
        <v>1.6528066948252628E-3</v>
      </c>
      <c r="W109" s="2"/>
      <c r="X109" s="7">
        <f t="shared" si="58"/>
        <v>15635.91</v>
      </c>
      <c r="Y109" s="2"/>
      <c r="Z109" s="6">
        <f t="shared" si="59"/>
        <v>1.4162961956521738</v>
      </c>
    </row>
    <row r="110" spans="1:26" s="28" customFormat="1" outlineLevel="1" collapsed="1" x14ac:dyDescent="0.25">
      <c r="A110" s="27"/>
      <c r="B110" s="14" t="str">
        <f>CONCATENATE("     ","Insurance                                         ")</f>
        <v xml:space="preserve">     Insurance                                         </v>
      </c>
      <c r="C110" s="14"/>
      <c r="D110" s="1">
        <f>SUM(OSRRefD22_12x_0)</f>
        <v>11626.43</v>
      </c>
      <c r="E110" s="1"/>
      <c r="F110" s="5">
        <f t="shared" ref="F110:F126" si="60">IF(D$12=0,0,D110/D$12)</f>
        <v>4.9482530444207471E-3</v>
      </c>
      <c r="G110" s="1"/>
      <c r="H110" s="1">
        <f>SUM(OSRRefH22_12x_0)</f>
        <v>11425</v>
      </c>
      <c r="I110" s="1"/>
      <c r="J110" s="5">
        <f t="shared" ref="J110:J126" si="61">IF(H$12=0,0,H110/H$12)</f>
        <v>4.7896013039453742E-3</v>
      </c>
      <c r="K110" s="1"/>
      <c r="L110" s="1">
        <f t="shared" ref="L110:L126" si="62">+D110-H110</f>
        <v>201.43000000000029</v>
      </c>
      <c r="M110" s="1"/>
      <c r="N110" s="5">
        <f t="shared" ref="N110:N126" si="63">IF(H110=0,0,L110/H110)</f>
        <v>1.7630634573304185E-2</v>
      </c>
      <c r="O110" s="14"/>
      <c r="P110" s="1">
        <f>SUM(OSRRefP22_12x_0)</f>
        <v>34879.300000000003</v>
      </c>
      <c r="Q110" s="1"/>
      <c r="R110" s="5">
        <f t="shared" ref="R110:R126" si="64">IF(P$12=0,0,P110/P$12)</f>
        <v>6.5289100397873173E-3</v>
      </c>
      <c r="S110" s="1"/>
      <c r="T110" s="1">
        <f>SUM(OSRRefT22_12x_0)</f>
        <v>34275</v>
      </c>
      <c r="U110" s="1"/>
      <c r="V110" s="5">
        <f t="shared" ref="V110:V126" si="65">IF(T$12=0,0,T110/T$12)</f>
        <v>5.1313360022768014E-3</v>
      </c>
      <c r="W110" s="1"/>
      <c r="X110" s="1">
        <f t="shared" ref="X110:X126" si="66">+P110-T110</f>
        <v>604.30000000000291</v>
      </c>
      <c r="Y110" s="1"/>
      <c r="Z110" s="5">
        <f t="shared" ref="Z110:Z126" si="67">IF(T110=0,0,X110/T110)</f>
        <v>1.7630926331145234E-2</v>
      </c>
    </row>
    <row r="111" spans="1:26" s="24" customFormat="1" hidden="1" outlineLevel="2" x14ac:dyDescent="0.25">
      <c r="A111" s="29"/>
      <c r="B111" s="11" t="str">
        <f>CONCATENATE("          ", "6314", " - ", "LIABILITY INSURANCE")</f>
        <v xml:space="preserve">          6314 - LIABILITY INSURANCE</v>
      </c>
      <c r="C111" s="11"/>
      <c r="D111" s="7">
        <v>11626.43</v>
      </c>
      <c r="E111" s="2"/>
      <c r="F111" s="6">
        <f t="shared" si="60"/>
        <v>4.9482530444207471E-3</v>
      </c>
      <c r="G111" s="2"/>
      <c r="H111" s="7">
        <v>11425</v>
      </c>
      <c r="I111" s="2"/>
      <c r="J111" s="6">
        <f t="shared" si="61"/>
        <v>4.7896013039453742E-3</v>
      </c>
      <c r="K111" s="2"/>
      <c r="L111" s="7">
        <f t="shared" si="62"/>
        <v>201.43000000000029</v>
      </c>
      <c r="M111" s="2"/>
      <c r="N111" s="6">
        <f t="shared" si="63"/>
        <v>1.7630634573304185E-2</v>
      </c>
      <c r="O111" s="11"/>
      <c r="P111" s="7">
        <v>34879.300000000003</v>
      </c>
      <c r="Q111" s="2"/>
      <c r="R111" s="6">
        <f t="shared" si="64"/>
        <v>6.5289100397873173E-3</v>
      </c>
      <c r="S111" s="2"/>
      <c r="T111" s="7">
        <v>34275</v>
      </c>
      <c r="U111" s="2"/>
      <c r="V111" s="6">
        <f t="shared" si="65"/>
        <v>5.1313360022768014E-3</v>
      </c>
      <c r="W111" s="2"/>
      <c r="X111" s="7">
        <f t="shared" si="66"/>
        <v>604.30000000000291</v>
      </c>
      <c r="Y111" s="2"/>
      <c r="Z111" s="6">
        <f t="shared" si="67"/>
        <v>1.7630926331145234E-2</v>
      </c>
    </row>
    <row r="112" spans="1:26" s="28" customFormat="1" outlineLevel="1" collapsed="1" x14ac:dyDescent="0.25">
      <c r="A112" s="27"/>
      <c r="B112" s="14" t="str">
        <f>CONCATENATE("     ","Interest                                          ")</f>
        <v xml:space="preserve">     Interest                                          </v>
      </c>
      <c r="C112" s="14"/>
      <c r="D112" s="1">
        <f>SUM(OSRRefD22_13x_0)</f>
        <v>11158</v>
      </c>
      <c r="E112" s="1"/>
      <c r="F112" s="5">
        <f t="shared" si="60"/>
        <v>4.7488874460730156E-3</v>
      </c>
      <c r="G112" s="1"/>
      <c r="H112" s="1">
        <f>SUM(OSRRefH22_13x_0)</f>
        <v>11158</v>
      </c>
      <c r="I112" s="1"/>
      <c r="J112" s="5">
        <f t="shared" si="61"/>
        <v>4.6776692647196921E-3</v>
      </c>
      <c r="K112" s="1"/>
      <c r="L112" s="1">
        <f t="shared" si="62"/>
        <v>0</v>
      </c>
      <c r="M112" s="1"/>
      <c r="N112" s="5">
        <f t="shared" si="63"/>
        <v>0</v>
      </c>
      <c r="O112" s="14"/>
      <c r="P112" s="1">
        <f>SUM(OSRRefP22_13x_0)</f>
        <v>33474</v>
      </c>
      <c r="Q112" s="1"/>
      <c r="R112" s="5">
        <f t="shared" si="64"/>
        <v>6.2658578203071925E-3</v>
      </c>
      <c r="S112" s="1"/>
      <c r="T112" s="1">
        <f>SUM(OSRRefT22_13x_0)</f>
        <v>33474</v>
      </c>
      <c r="U112" s="1"/>
      <c r="V112" s="5">
        <f t="shared" si="65"/>
        <v>5.0114176904511639E-3</v>
      </c>
      <c r="W112" s="1"/>
      <c r="X112" s="1">
        <f t="shared" si="66"/>
        <v>0</v>
      </c>
      <c r="Y112" s="1"/>
      <c r="Z112" s="5">
        <f t="shared" si="67"/>
        <v>0</v>
      </c>
    </row>
    <row r="113" spans="1:26" s="24" customFormat="1" hidden="1" outlineLevel="2" x14ac:dyDescent="0.25">
      <c r="A113" s="29"/>
      <c r="B113" s="11" t="str">
        <f>CONCATENATE("          ", "6401", " - ", "INTEREST EXPENSE")</f>
        <v xml:space="preserve">          6401 - INTEREST EXPENSE</v>
      </c>
      <c r="C113" s="11"/>
      <c r="D113" s="7">
        <v>11158</v>
      </c>
      <c r="E113" s="2"/>
      <c r="F113" s="6">
        <f t="shared" si="60"/>
        <v>4.7488874460730156E-3</v>
      </c>
      <c r="G113" s="2"/>
      <c r="H113" s="7">
        <v>11158</v>
      </c>
      <c r="I113" s="2"/>
      <c r="J113" s="6">
        <f t="shared" si="61"/>
        <v>4.6776692647196921E-3</v>
      </c>
      <c r="K113" s="2"/>
      <c r="L113" s="7">
        <f t="shared" si="62"/>
        <v>0</v>
      </c>
      <c r="M113" s="2"/>
      <c r="N113" s="6">
        <f t="shared" si="63"/>
        <v>0</v>
      </c>
      <c r="O113" s="11"/>
      <c r="P113" s="7">
        <v>33474</v>
      </c>
      <c r="Q113" s="2"/>
      <c r="R113" s="6">
        <f t="shared" si="64"/>
        <v>6.2658578203071925E-3</v>
      </c>
      <c r="S113" s="2"/>
      <c r="T113" s="7">
        <v>33474</v>
      </c>
      <c r="U113" s="2"/>
      <c r="V113" s="6">
        <f t="shared" si="65"/>
        <v>5.0114176904511639E-3</v>
      </c>
      <c r="W113" s="2"/>
      <c r="X113" s="7">
        <f t="shared" si="66"/>
        <v>0</v>
      </c>
      <c r="Y113" s="2"/>
      <c r="Z113" s="6">
        <f t="shared" si="67"/>
        <v>0</v>
      </c>
    </row>
    <row r="114" spans="1:26" s="28" customFormat="1" outlineLevel="1" collapsed="1" x14ac:dyDescent="0.25">
      <c r="A114" s="27"/>
      <c r="B114" s="14" t="str">
        <f>CONCATENATE("     ","Inventory Adjustment                              ")</f>
        <v xml:space="preserve">     Inventory Adjustment                              </v>
      </c>
      <c r="C114" s="14"/>
      <c r="D114" s="1">
        <f>SUM(OSRRefD22_14x_0)</f>
        <v>5690</v>
      </c>
      <c r="E114" s="1"/>
      <c r="F114" s="5">
        <f t="shared" si="60"/>
        <v>2.4216857472804678E-3</v>
      </c>
      <c r="G114" s="1"/>
      <c r="H114" s="1">
        <f>SUM(OSRRefH22_14x_0)</f>
        <v>6400</v>
      </c>
      <c r="I114" s="1"/>
      <c r="J114" s="5">
        <f t="shared" si="61"/>
        <v>2.6830151724508001E-3</v>
      </c>
      <c r="K114" s="1"/>
      <c r="L114" s="1">
        <f t="shared" si="62"/>
        <v>-710</v>
      </c>
      <c r="M114" s="1"/>
      <c r="N114" s="5">
        <f t="shared" si="63"/>
        <v>-0.11093749999999999</v>
      </c>
      <c r="O114" s="14"/>
      <c r="P114" s="1">
        <f>SUM(OSRRefP22_14x_0)</f>
        <v>19380</v>
      </c>
      <c r="Q114" s="1"/>
      <c r="R114" s="5">
        <f t="shared" si="64"/>
        <v>3.6276610072758972E-3</v>
      </c>
      <c r="S114" s="1"/>
      <c r="T114" s="1">
        <f>SUM(OSRRefT22_14x_0)</f>
        <v>20090</v>
      </c>
      <c r="U114" s="1"/>
      <c r="V114" s="5">
        <f t="shared" si="65"/>
        <v>3.0076889944782182E-3</v>
      </c>
      <c r="W114" s="1"/>
      <c r="X114" s="1">
        <f t="shared" si="66"/>
        <v>-710</v>
      </c>
      <c r="Y114" s="1"/>
      <c r="Z114" s="5">
        <f t="shared" si="67"/>
        <v>-3.5340965654554503E-2</v>
      </c>
    </row>
    <row r="115" spans="1:26" s="24" customFormat="1" hidden="1" outlineLevel="2" x14ac:dyDescent="0.25">
      <c r="A115" s="29"/>
      <c r="B115" s="11" t="str">
        <f>CONCATENATE("          ", "6408", " - ", "INVENTORY ADJUSTMENT")</f>
        <v xml:space="preserve">          6408 - INVENTORY ADJUSTMENT</v>
      </c>
      <c r="C115" s="11"/>
      <c r="D115" s="7">
        <v>5690</v>
      </c>
      <c r="E115" s="2"/>
      <c r="F115" s="6">
        <f t="shared" si="60"/>
        <v>2.4216857472804678E-3</v>
      </c>
      <c r="G115" s="2"/>
      <c r="H115" s="7">
        <v>6400</v>
      </c>
      <c r="I115" s="2"/>
      <c r="J115" s="6">
        <f t="shared" si="61"/>
        <v>2.6830151724508001E-3</v>
      </c>
      <c r="K115" s="2"/>
      <c r="L115" s="7">
        <f t="shared" si="62"/>
        <v>-710</v>
      </c>
      <c r="M115" s="2"/>
      <c r="N115" s="6">
        <f t="shared" si="63"/>
        <v>-0.11093749999999999</v>
      </c>
      <c r="O115" s="11"/>
      <c r="P115" s="7">
        <v>19380</v>
      </c>
      <c r="Q115" s="2"/>
      <c r="R115" s="6">
        <f t="shared" si="64"/>
        <v>3.6276610072758972E-3</v>
      </c>
      <c r="S115" s="2"/>
      <c r="T115" s="7">
        <v>20090</v>
      </c>
      <c r="U115" s="2"/>
      <c r="V115" s="6">
        <f t="shared" si="65"/>
        <v>3.0076889944782182E-3</v>
      </c>
      <c r="W115" s="2"/>
      <c r="X115" s="7">
        <f t="shared" si="66"/>
        <v>-710</v>
      </c>
      <c r="Y115" s="2"/>
      <c r="Z115" s="6">
        <f t="shared" si="67"/>
        <v>-3.5340965654554503E-2</v>
      </c>
    </row>
    <row r="116" spans="1:26" s="28" customFormat="1" outlineLevel="1" collapsed="1" x14ac:dyDescent="0.25">
      <c r="A116" s="27"/>
      <c r="B116" s="14" t="str">
        <f>CONCATENATE("     ","Professional Services                             ")</f>
        <v xml:space="preserve">     Professional Services                             </v>
      </c>
      <c r="C116" s="14"/>
      <c r="D116" s="1">
        <f>SUM(OSRRefD22_15x_0)</f>
        <v>0</v>
      </c>
      <c r="E116" s="1"/>
      <c r="F116" s="5">
        <f t="shared" si="60"/>
        <v>0</v>
      </c>
      <c r="G116" s="1"/>
      <c r="H116" s="1">
        <f>SUM(OSRRefH22_15x_0)</f>
        <v>0</v>
      </c>
      <c r="I116" s="1"/>
      <c r="J116" s="5">
        <f t="shared" si="61"/>
        <v>0</v>
      </c>
      <c r="K116" s="1"/>
      <c r="L116" s="1">
        <f t="shared" si="62"/>
        <v>0</v>
      </c>
      <c r="M116" s="1"/>
      <c r="N116" s="5">
        <f t="shared" si="63"/>
        <v>0</v>
      </c>
      <c r="O116" s="14"/>
      <c r="P116" s="1">
        <f>SUM(OSRRefP22_15x_0)</f>
        <v>0</v>
      </c>
      <c r="Q116" s="1"/>
      <c r="R116" s="5">
        <f t="shared" si="64"/>
        <v>0</v>
      </c>
      <c r="S116" s="1"/>
      <c r="T116" s="1">
        <f>SUM(OSRRefT22_15x_0)</f>
        <v>1000</v>
      </c>
      <c r="U116" s="1"/>
      <c r="V116" s="5">
        <f t="shared" si="65"/>
        <v>1.4971075134286802E-4</v>
      </c>
      <c r="W116" s="1"/>
      <c r="X116" s="1">
        <f t="shared" si="66"/>
        <v>-1000</v>
      </c>
      <c r="Y116" s="1"/>
      <c r="Z116" s="5">
        <f t="shared" si="67"/>
        <v>-1</v>
      </c>
    </row>
    <row r="117" spans="1:26" s="24" customFormat="1" hidden="1" outlineLevel="2" x14ac:dyDescent="0.25">
      <c r="A117" s="29"/>
      <c r="B117" s="11" t="str">
        <f>CONCATENATE("          ", "6336", " - ", "PROFESSIONAL SERVICES")</f>
        <v xml:space="preserve">          6336 - PROFESSIONAL SERVICES</v>
      </c>
      <c r="C117" s="11"/>
      <c r="D117" s="7"/>
      <c r="E117" s="2"/>
      <c r="F117" s="6">
        <f t="shared" si="60"/>
        <v>0</v>
      </c>
      <c r="G117" s="2"/>
      <c r="H117" s="7">
        <v>0</v>
      </c>
      <c r="I117" s="2"/>
      <c r="J117" s="6">
        <f t="shared" si="61"/>
        <v>0</v>
      </c>
      <c r="K117" s="2"/>
      <c r="L117" s="7">
        <f t="shared" si="62"/>
        <v>0</v>
      </c>
      <c r="M117" s="2"/>
      <c r="N117" s="6">
        <f t="shared" si="63"/>
        <v>0</v>
      </c>
      <c r="O117" s="11"/>
      <c r="P117" s="7"/>
      <c r="Q117" s="2"/>
      <c r="R117" s="6">
        <f t="shared" si="64"/>
        <v>0</v>
      </c>
      <c r="S117" s="2"/>
      <c r="T117" s="7">
        <v>1000</v>
      </c>
      <c r="U117" s="2"/>
      <c r="V117" s="6">
        <f t="shared" si="65"/>
        <v>1.4971075134286802E-4</v>
      </c>
      <c r="W117" s="2"/>
      <c r="X117" s="7">
        <f t="shared" si="66"/>
        <v>-1000</v>
      </c>
      <c r="Y117" s="2"/>
      <c r="Z117" s="6">
        <f t="shared" si="67"/>
        <v>-1</v>
      </c>
    </row>
    <row r="118" spans="1:26" s="28" customFormat="1" outlineLevel="1" collapsed="1" x14ac:dyDescent="0.25">
      <c r="A118" s="27"/>
      <c r="B118" s="14" t="str">
        <f>CONCATENATE("     ","R/H Commissions                                   ")</f>
        <v xml:space="preserve">     R/H Commissions                                   </v>
      </c>
      <c r="C118" s="14"/>
      <c r="D118" s="1">
        <f>SUM(OSRRefD22_16x_0)</f>
        <v>102646.99</v>
      </c>
      <c r="E118" s="1"/>
      <c r="F118" s="5">
        <f t="shared" si="60"/>
        <v>4.3686951262608208E-2</v>
      </c>
      <c r="G118" s="1"/>
      <c r="H118" s="1">
        <f>SUM(OSRRefH22_16x_0)</f>
        <v>90317</v>
      </c>
      <c r="I118" s="1"/>
      <c r="J118" s="5">
        <f t="shared" si="61"/>
        <v>3.7862793957849833E-2</v>
      </c>
      <c r="K118" s="1"/>
      <c r="L118" s="1">
        <f t="shared" si="62"/>
        <v>12329.990000000005</v>
      </c>
      <c r="M118" s="1"/>
      <c r="N118" s="5">
        <f t="shared" si="63"/>
        <v>0.13651903849773581</v>
      </c>
      <c r="O118" s="14"/>
      <c r="P118" s="1">
        <f>SUM(OSRRefP22_16x_0)</f>
        <v>142802.99</v>
      </c>
      <c r="Q118" s="1"/>
      <c r="R118" s="5">
        <f t="shared" si="64"/>
        <v>2.6730693423395763E-2</v>
      </c>
      <c r="S118" s="1"/>
      <c r="T118" s="1">
        <f>SUM(OSRRefT22_16x_0)</f>
        <v>112896</v>
      </c>
      <c r="U118" s="1"/>
      <c r="V118" s="5">
        <f t="shared" si="65"/>
        <v>1.6901744983604427E-2</v>
      </c>
      <c r="W118" s="1"/>
      <c r="X118" s="1">
        <f t="shared" si="66"/>
        <v>29906.989999999991</v>
      </c>
      <c r="Y118" s="1"/>
      <c r="Z118" s="5">
        <f t="shared" si="67"/>
        <v>0.26490743693310648</v>
      </c>
    </row>
    <row r="119" spans="1:26" s="24" customFormat="1" hidden="1" outlineLevel="2" x14ac:dyDescent="0.25">
      <c r="A119" s="29"/>
      <c r="B119" s="11" t="str">
        <f>CONCATENATE("          ", "6387", " - ", "COMMISSION DUE HOUSING")</f>
        <v xml:space="preserve">          6387 - COMMISSION DUE HOUSING</v>
      </c>
      <c r="C119" s="11"/>
      <c r="D119" s="7">
        <v>102646.99</v>
      </c>
      <c r="E119" s="2"/>
      <c r="F119" s="6">
        <f t="shared" si="60"/>
        <v>4.3686951262608208E-2</v>
      </c>
      <c r="G119" s="2"/>
      <c r="H119" s="7">
        <v>90317</v>
      </c>
      <c r="I119" s="2"/>
      <c r="J119" s="6">
        <f t="shared" si="61"/>
        <v>3.7862793957849833E-2</v>
      </c>
      <c r="K119" s="2"/>
      <c r="L119" s="7">
        <f t="shared" si="62"/>
        <v>12329.990000000005</v>
      </c>
      <c r="M119" s="2"/>
      <c r="N119" s="6">
        <f t="shared" si="63"/>
        <v>0.13651903849773581</v>
      </c>
      <c r="O119" s="11"/>
      <c r="P119" s="7">
        <v>142802.99</v>
      </c>
      <c r="Q119" s="2"/>
      <c r="R119" s="6">
        <f t="shared" si="64"/>
        <v>2.6730693423395763E-2</v>
      </c>
      <c r="S119" s="2"/>
      <c r="T119" s="7">
        <v>112896</v>
      </c>
      <c r="U119" s="2"/>
      <c r="V119" s="6">
        <f t="shared" si="65"/>
        <v>1.6901744983604427E-2</v>
      </c>
      <c r="W119" s="2"/>
      <c r="X119" s="7">
        <f t="shared" si="66"/>
        <v>29906.989999999991</v>
      </c>
      <c r="Y119" s="2"/>
      <c r="Z119" s="6">
        <f t="shared" si="67"/>
        <v>0.26490743693310648</v>
      </c>
    </row>
    <row r="120" spans="1:26" s="28" customFormat="1" outlineLevel="1" collapsed="1" x14ac:dyDescent="0.25">
      <c r="A120" s="27"/>
      <c r="B120" s="14" t="str">
        <f>CONCATENATE("     ","Rent                                              ")</f>
        <v xml:space="preserve">     Rent                                              </v>
      </c>
      <c r="C120" s="14"/>
      <c r="D120" s="1">
        <f>SUM(OSRRefD22_17x_0)</f>
        <v>8750</v>
      </c>
      <c r="E120" s="1"/>
      <c r="F120" s="5">
        <f t="shared" si="60"/>
        <v>3.724033442654498E-3</v>
      </c>
      <c r="G120" s="1"/>
      <c r="H120" s="1">
        <f>SUM(OSRRefH22_17x_0)</f>
        <v>8750</v>
      </c>
      <c r="I120" s="1"/>
      <c r="J120" s="5">
        <f t="shared" si="61"/>
        <v>3.6681848060850786E-3</v>
      </c>
      <c r="K120" s="1"/>
      <c r="L120" s="1">
        <f t="shared" si="62"/>
        <v>0</v>
      </c>
      <c r="M120" s="1"/>
      <c r="N120" s="5">
        <f t="shared" si="63"/>
        <v>0</v>
      </c>
      <c r="O120" s="14"/>
      <c r="P120" s="1">
        <f>SUM(OSRRefP22_17x_0)</f>
        <v>26250</v>
      </c>
      <c r="Q120" s="1"/>
      <c r="R120" s="5">
        <f t="shared" si="64"/>
        <v>4.9136275253350006E-3</v>
      </c>
      <c r="S120" s="1"/>
      <c r="T120" s="1">
        <f>SUM(OSRRefT22_17x_0)</f>
        <v>26250</v>
      </c>
      <c r="U120" s="1"/>
      <c r="V120" s="5">
        <f t="shared" si="65"/>
        <v>3.9299072227502851E-3</v>
      </c>
      <c r="W120" s="1"/>
      <c r="X120" s="1">
        <f t="shared" si="66"/>
        <v>0</v>
      </c>
      <c r="Y120" s="1"/>
      <c r="Z120" s="5">
        <f t="shared" si="67"/>
        <v>0</v>
      </c>
    </row>
    <row r="121" spans="1:26" s="24" customFormat="1" hidden="1" outlineLevel="2" x14ac:dyDescent="0.25">
      <c r="A121" s="29"/>
      <c r="B121" s="11" t="str">
        <f>CONCATENATE("          ", "6273", " - ", "RENT")</f>
        <v xml:space="preserve">          6273 - RENT</v>
      </c>
      <c r="C121" s="11"/>
      <c r="D121" s="7">
        <v>8750</v>
      </c>
      <c r="E121" s="2"/>
      <c r="F121" s="6">
        <f t="shared" si="60"/>
        <v>3.724033442654498E-3</v>
      </c>
      <c r="G121" s="2"/>
      <c r="H121" s="7">
        <v>8750</v>
      </c>
      <c r="I121" s="2"/>
      <c r="J121" s="6">
        <f t="shared" si="61"/>
        <v>3.6681848060850786E-3</v>
      </c>
      <c r="K121" s="2"/>
      <c r="L121" s="7">
        <f t="shared" si="62"/>
        <v>0</v>
      </c>
      <c r="M121" s="2"/>
      <c r="N121" s="6">
        <f t="shared" si="63"/>
        <v>0</v>
      </c>
      <c r="O121" s="11"/>
      <c r="P121" s="7">
        <v>26250</v>
      </c>
      <c r="Q121" s="2"/>
      <c r="R121" s="6">
        <f t="shared" si="64"/>
        <v>4.9136275253350006E-3</v>
      </c>
      <c r="S121" s="2"/>
      <c r="T121" s="7">
        <v>26250</v>
      </c>
      <c r="U121" s="2"/>
      <c r="V121" s="6">
        <f t="shared" si="65"/>
        <v>3.9299072227502851E-3</v>
      </c>
      <c r="W121" s="2"/>
      <c r="X121" s="7">
        <f t="shared" si="66"/>
        <v>0</v>
      </c>
      <c r="Y121" s="2"/>
      <c r="Z121" s="6">
        <f t="shared" si="67"/>
        <v>0</v>
      </c>
    </row>
    <row r="122" spans="1:26" s="28" customFormat="1" outlineLevel="1" collapsed="1" x14ac:dyDescent="0.25">
      <c r="A122" s="27"/>
      <c r="B122" s="14" t="str">
        <f>CONCATENATE("     ","Repair and Maintenance                            ")</f>
        <v xml:space="preserve">     Repair and Maintenance                            </v>
      </c>
      <c r="C122" s="14"/>
      <c r="D122" s="1">
        <f>SUM(OSRRefD22_18x_0)</f>
        <v>11438.830000000002</v>
      </c>
      <c r="E122" s="1"/>
      <c r="F122" s="5">
        <f t="shared" si="60"/>
        <v>4.8684097674102349E-3</v>
      </c>
      <c r="G122" s="1"/>
      <c r="H122" s="1">
        <f>SUM(OSRRefH22_18x_0)</f>
        <v>29474</v>
      </c>
      <c r="I122" s="1"/>
      <c r="J122" s="5">
        <f t="shared" si="61"/>
        <v>1.2356123311377325E-2</v>
      </c>
      <c r="K122" s="1"/>
      <c r="L122" s="1">
        <f t="shared" si="62"/>
        <v>-18035.169999999998</v>
      </c>
      <c r="M122" s="1"/>
      <c r="N122" s="5">
        <f t="shared" si="63"/>
        <v>-0.61190099748931259</v>
      </c>
      <c r="O122" s="14"/>
      <c r="P122" s="1">
        <f>SUM(OSRRefP22_18x_0)</f>
        <v>241486.05</v>
      </c>
      <c r="Q122" s="1"/>
      <c r="R122" s="5">
        <f t="shared" si="64"/>
        <v>4.5202761991025679E-2</v>
      </c>
      <c r="S122" s="1"/>
      <c r="T122" s="1">
        <f>SUM(OSRRefT22_18x_0)</f>
        <v>242926</v>
      </c>
      <c r="U122" s="1"/>
      <c r="V122" s="5">
        <f t="shared" si="65"/>
        <v>3.6368633980717553E-2</v>
      </c>
      <c r="W122" s="1"/>
      <c r="X122" s="1">
        <f t="shared" si="66"/>
        <v>-1439.9500000000116</v>
      </c>
      <c r="Y122" s="1"/>
      <c r="Z122" s="5">
        <f t="shared" si="67"/>
        <v>-5.927525254604331E-3</v>
      </c>
    </row>
    <row r="123" spans="1:26" s="24" customFormat="1" hidden="1" outlineLevel="2" x14ac:dyDescent="0.25">
      <c r="A123" s="29"/>
      <c r="B123" s="11" t="str">
        <f>CONCATENATE("          ", "6371", " - ", "COMPUTER SOFTWARE MAINTENANCE")</f>
        <v xml:space="preserve">          6371 - COMPUTER SOFTWARE MAINTENANCE</v>
      </c>
      <c r="C123" s="11"/>
      <c r="D123" s="7">
        <v>3500</v>
      </c>
      <c r="E123" s="2"/>
      <c r="F123" s="6">
        <f t="shared" si="60"/>
        <v>1.4896133770617992E-3</v>
      </c>
      <c r="G123" s="2"/>
      <c r="H123" s="7">
        <v>7123</v>
      </c>
      <c r="I123" s="2"/>
      <c r="J123" s="6">
        <f t="shared" si="61"/>
        <v>2.9861120427136017E-3</v>
      </c>
      <c r="K123" s="2"/>
      <c r="L123" s="7">
        <f t="shared" si="62"/>
        <v>-3623</v>
      </c>
      <c r="M123" s="2"/>
      <c r="N123" s="6">
        <f t="shared" si="63"/>
        <v>-0.50863400252702518</v>
      </c>
      <c r="O123" s="11"/>
      <c r="P123" s="7">
        <v>75301.22</v>
      </c>
      <c r="Q123" s="2"/>
      <c r="R123" s="6">
        <f t="shared" si="64"/>
        <v>1.4095319896506912E-2</v>
      </c>
      <c r="S123" s="2"/>
      <c r="T123" s="7">
        <v>180123</v>
      </c>
      <c r="U123" s="2"/>
      <c r="V123" s="6">
        <f t="shared" si="65"/>
        <v>2.6966349664131414E-2</v>
      </c>
      <c r="W123" s="2"/>
      <c r="X123" s="7">
        <f t="shared" si="66"/>
        <v>-104821.78</v>
      </c>
      <c r="Y123" s="2"/>
      <c r="Z123" s="6">
        <f t="shared" si="67"/>
        <v>-0.58194555942328297</v>
      </c>
    </row>
    <row r="124" spans="1:26" s="24" customFormat="1" hidden="1" outlineLevel="2" x14ac:dyDescent="0.25">
      <c r="A124" s="29"/>
      <c r="B124" s="11" t="str">
        <f>CONCATENATE("          ", "6372", " - ", "COMPUTER HARDWARE MAINTENANCE")</f>
        <v xml:space="preserve">          6372 - COMPUTER HARDWARE MAINTENANCE</v>
      </c>
      <c r="C124" s="11"/>
      <c r="D124" s="7"/>
      <c r="E124" s="2"/>
      <c r="F124" s="6">
        <f t="shared" si="60"/>
        <v>0</v>
      </c>
      <c r="G124" s="2"/>
      <c r="H124" s="7">
        <v>6950</v>
      </c>
      <c r="I124" s="2"/>
      <c r="J124" s="6">
        <f t="shared" si="61"/>
        <v>2.9135867888332909E-3</v>
      </c>
      <c r="K124" s="2"/>
      <c r="L124" s="7">
        <f t="shared" si="62"/>
        <v>-6950</v>
      </c>
      <c r="M124" s="2"/>
      <c r="N124" s="6">
        <f t="shared" si="63"/>
        <v>-1</v>
      </c>
      <c r="O124" s="11"/>
      <c r="P124" s="7"/>
      <c r="Q124" s="2"/>
      <c r="R124" s="6">
        <f t="shared" si="64"/>
        <v>0</v>
      </c>
      <c r="S124" s="2"/>
      <c r="T124" s="7">
        <v>17470</v>
      </c>
      <c r="U124" s="2"/>
      <c r="V124" s="6">
        <f t="shared" si="65"/>
        <v>2.6154468259599042E-3</v>
      </c>
      <c r="W124" s="2"/>
      <c r="X124" s="7">
        <f t="shared" si="66"/>
        <v>-17470</v>
      </c>
      <c r="Y124" s="2"/>
      <c r="Z124" s="6">
        <f t="shared" si="67"/>
        <v>-1</v>
      </c>
    </row>
    <row r="125" spans="1:26" s="24" customFormat="1" hidden="1" outlineLevel="2" x14ac:dyDescent="0.25">
      <c r="A125" s="29"/>
      <c r="B125" s="11" t="str">
        <f>CONCATENATE("          ", "6373", " - ", "MAINTENANCE CONTRACTS")</f>
        <v xml:space="preserve">          6373 - MAINTENANCE CONTRACTS</v>
      </c>
      <c r="C125" s="11"/>
      <c r="D125" s="7">
        <v>2767.77</v>
      </c>
      <c r="E125" s="2"/>
      <c r="F125" s="6">
        <f t="shared" si="60"/>
        <v>1.1779734904658102E-3</v>
      </c>
      <c r="G125" s="2"/>
      <c r="H125" s="7">
        <v>11993</v>
      </c>
      <c r="I125" s="2"/>
      <c r="J125" s="6">
        <f t="shared" si="61"/>
        <v>5.0277189005003822E-3</v>
      </c>
      <c r="K125" s="2"/>
      <c r="L125" s="7">
        <f t="shared" si="62"/>
        <v>-9225.23</v>
      </c>
      <c r="M125" s="2"/>
      <c r="N125" s="6">
        <f t="shared" si="63"/>
        <v>-0.76921787709497202</v>
      </c>
      <c r="O125" s="11"/>
      <c r="P125" s="7">
        <v>131448.31</v>
      </c>
      <c r="Q125" s="2"/>
      <c r="R125" s="6">
        <f t="shared" si="64"/>
        <v>2.4605258444753066E-2</v>
      </c>
      <c r="S125" s="2"/>
      <c r="T125" s="7">
        <v>25943</v>
      </c>
      <c r="U125" s="2"/>
      <c r="V125" s="6">
        <f t="shared" si="65"/>
        <v>3.8839460220880247E-3</v>
      </c>
      <c r="W125" s="2"/>
      <c r="X125" s="7">
        <f t="shared" si="66"/>
        <v>105505.31</v>
      </c>
      <c r="Y125" s="2"/>
      <c r="Z125" s="6">
        <f t="shared" si="67"/>
        <v>4.0668122422233353</v>
      </c>
    </row>
    <row r="126" spans="1:26" s="24" customFormat="1" hidden="1" outlineLevel="2" x14ac:dyDescent="0.25">
      <c r="A126" s="29"/>
      <c r="B126" s="11" t="str">
        <f>CONCATENATE("          ", "6375", " - ", "OUTSIDE REPAIRS &amp; MAINTENANCE")</f>
        <v xml:space="preserve">          6375 - OUTSIDE REPAIRS &amp; MAINTENANCE</v>
      </c>
      <c r="C126" s="11"/>
      <c r="D126" s="7">
        <v>5171.0600000000004</v>
      </c>
      <c r="E126" s="2"/>
      <c r="F126" s="6">
        <f t="shared" si="60"/>
        <v>2.2008228998826249E-3</v>
      </c>
      <c r="G126" s="2"/>
      <c r="H126" s="7">
        <v>3408</v>
      </c>
      <c r="I126" s="2"/>
      <c r="J126" s="6">
        <f t="shared" si="61"/>
        <v>1.4287055793300511E-3</v>
      </c>
      <c r="K126" s="2"/>
      <c r="L126" s="7">
        <f t="shared" si="62"/>
        <v>1763.0600000000004</v>
      </c>
      <c r="M126" s="2"/>
      <c r="N126" s="6">
        <f t="shared" si="63"/>
        <v>0.51732981220657293</v>
      </c>
      <c r="O126" s="11"/>
      <c r="P126" s="7">
        <v>34736.519999999997</v>
      </c>
      <c r="Q126" s="2"/>
      <c r="R126" s="6">
        <f t="shared" si="64"/>
        <v>6.5021836497657038E-3</v>
      </c>
      <c r="S126" s="2"/>
      <c r="T126" s="7">
        <v>19390</v>
      </c>
      <c r="U126" s="2"/>
      <c r="V126" s="6">
        <f t="shared" si="65"/>
        <v>2.9028914685382107E-3</v>
      </c>
      <c r="W126" s="2"/>
      <c r="X126" s="7">
        <f t="shared" si="66"/>
        <v>15346.519999999997</v>
      </c>
      <c r="Y126" s="2"/>
      <c r="Z126" s="6">
        <f t="shared" si="67"/>
        <v>0.79146570397111893</v>
      </c>
    </row>
    <row r="127" spans="1:26" s="28" customFormat="1" outlineLevel="1" collapsed="1" x14ac:dyDescent="0.25">
      <c r="A127" s="27"/>
      <c r="B127" s="14" t="str">
        <f>CONCATENATE("     ","Royalty &amp; Commissions                             ")</f>
        <v xml:space="preserve">     Royalty &amp; Commissions                             </v>
      </c>
      <c r="C127" s="14"/>
      <c r="D127" s="1">
        <f>SUM(OSRRefD22_19x_0)</f>
        <v>1174.22</v>
      </c>
      <c r="E127" s="1"/>
      <c r="F127" s="5">
        <f t="shared" ref="F127:F131" si="68">IF(D$12=0,0,D127/D$12)</f>
        <v>4.9975251988957313E-4</v>
      </c>
      <c r="G127" s="1"/>
      <c r="H127" s="1">
        <f>SUM(OSRRefH22_19x_0)</f>
        <v>2990</v>
      </c>
      <c r="I127" s="1"/>
      <c r="J127" s="5">
        <f t="shared" ref="J127:J131" si="69">IF(H$12=0,0,H127/H$12)</f>
        <v>1.2534711508793582E-3</v>
      </c>
      <c r="K127" s="1"/>
      <c r="L127" s="1">
        <f t="shared" ref="L127:L131" si="70">+D127-H127</f>
        <v>-1815.78</v>
      </c>
      <c r="M127" s="1"/>
      <c r="N127" s="5">
        <f t="shared" ref="N127:N131" si="71">IF(H127=0,0,L127/H127)</f>
        <v>-0.60728428093645481</v>
      </c>
      <c r="O127" s="14"/>
      <c r="P127" s="1">
        <f>SUM(OSRRefP22_19x_0)</f>
        <v>9131.2100000000009</v>
      </c>
      <c r="Q127" s="1"/>
      <c r="R127" s="5">
        <f t="shared" ref="R127:R131" si="72">IF(P$12=0,0,P127/P$12)</f>
        <v>1.709232944594827E-3</v>
      </c>
      <c r="S127" s="1"/>
      <c r="T127" s="1">
        <f>SUM(OSRRefT22_19x_0)</f>
        <v>20989</v>
      </c>
      <c r="U127" s="1"/>
      <c r="V127" s="5">
        <f t="shared" ref="V127:V131" si="73">IF(T$12=0,0,T127/T$12)</f>
        <v>3.1422789599354567E-3</v>
      </c>
      <c r="W127" s="1"/>
      <c r="X127" s="1">
        <f t="shared" ref="X127:X131" si="74">+P127-T127</f>
        <v>-11857.789999999999</v>
      </c>
      <c r="Y127" s="1"/>
      <c r="Z127" s="5">
        <f t="shared" ref="Z127:Z131" si="75">IF(T127=0,0,X127/T127)</f>
        <v>-0.56495259421601784</v>
      </c>
    </row>
    <row r="128" spans="1:26" s="24" customFormat="1" hidden="1" outlineLevel="2" x14ac:dyDescent="0.25">
      <c r="A128" s="29"/>
      <c r="B128" s="11" t="str">
        <f>CONCATENATE("          ", "6252", " - ", "ROYALTY DUE CSTV")</f>
        <v xml:space="preserve">          6252 - ROYALTY DUE CSTV</v>
      </c>
      <c r="C128" s="11"/>
      <c r="D128" s="7"/>
      <c r="E128" s="2"/>
      <c r="F128" s="6">
        <f t="shared" si="68"/>
        <v>0</v>
      </c>
      <c r="G128" s="2"/>
      <c r="H128" s="7">
        <v>1266</v>
      </c>
      <c r="I128" s="2"/>
      <c r="J128" s="6">
        <f t="shared" si="69"/>
        <v>5.3073393880042393E-4</v>
      </c>
      <c r="K128" s="2"/>
      <c r="L128" s="7">
        <f t="shared" si="70"/>
        <v>-1266</v>
      </c>
      <c r="M128" s="2"/>
      <c r="N128" s="6">
        <f t="shared" si="71"/>
        <v>-1</v>
      </c>
      <c r="O128" s="11"/>
      <c r="P128" s="7"/>
      <c r="Q128" s="2"/>
      <c r="R128" s="6">
        <f t="shared" si="72"/>
        <v>0</v>
      </c>
      <c r="S128" s="2"/>
      <c r="T128" s="7">
        <v>4188</v>
      </c>
      <c r="U128" s="2"/>
      <c r="V128" s="6">
        <f t="shared" si="73"/>
        <v>6.2698862662393122E-4</v>
      </c>
      <c r="W128" s="2"/>
      <c r="X128" s="7">
        <f t="shared" si="74"/>
        <v>-4188</v>
      </c>
      <c r="Y128" s="2"/>
      <c r="Z128" s="6">
        <f t="shared" si="75"/>
        <v>-1</v>
      </c>
    </row>
    <row r="129" spans="1:26" s="24" customFormat="1" hidden="1" outlineLevel="2" x14ac:dyDescent="0.25">
      <c r="A129" s="29"/>
      <c r="B129" s="11" t="str">
        <f>CONCATENATE("          ", "6253", " - ", "ROYALTY DUE ATHLETICS-LRG")</f>
        <v xml:space="preserve">          6253 - ROYALTY DUE ATHLETICS-LRG</v>
      </c>
      <c r="C129" s="11"/>
      <c r="D129" s="7"/>
      <c r="E129" s="2"/>
      <c r="F129" s="6">
        <f t="shared" si="68"/>
        <v>0</v>
      </c>
      <c r="G129" s="2"/>
      <c r="H129" s="7">
        <v>0</v>
      </c>
      <c r="I129" s="2"/>
      <c r="J129" s="6">
        <f t="shared" si="69"/>
        <v>0</v>
      </c>
      <c r="K129" s="2"/>
      <c r="L129" s="7">
        <f t="shared" si="70"/>
        <v>0</v>
      </c>
      <c r="M129" s="2"/>
      <c r="N129" s="6">
        <f t="shared" si="71"/>
        <v>0</v>
      </c>
      <c r="O129" s="11"/>
      <c r="P129" s="7">
        <v>14376.54</v>
      </c>
      <c r="Q129" s="2"/>
      <c r="R129" s="6">
        <f t="shared" si="72"/>
        <v>2.6910842919268436E-3</v>
      </c>
      <c r="S129" s="2"/>
      <c r="T129" s="7">
        <v>5672</v>
      </c>
      <c r="U129" s="2"/>
      <c r="V129" s="6">
        <f t="shared" si="73"/>
        <v>8.4915938161674736E-4</v>
      </c>
      <c r="W129" s="2"/>
      <c r="X129" s="7">
        <f t="shared" si="74"/>
        <v>8704.5400000000009</v>
      </c>
      <c r="Y129" s="2"/>
      <c r="Z129" s="6">
        <f t="shared" si="75"/>
        <v>1.5346509167842033</v>
      </c>
    </row>
    <row r="130" spans="1:26" s="24" customFormat="1" hidden="1" outlineLevel="2" x14ac:dyDescent="0.25">
      <c r="A130" s="29"/>
      <c r="B130" s="11" t="str">
        <f>CONCATENATE("          ", "6254", " - ", "ROYALTY &amp; COMMISSIONS")</f>
        <v xml:space="preserve">          6254 - ROYALTY &amp; COMMISSIONS</v>
      </c>
      <c r="C130" s="11"/>
      <c r="D130" s="7"/>
      <c r="E130" s="2"/>
      <c r="F130" s="6">
        <f t="shared" si="68"/>
        <v>0</v>
      </c>
      <c r="G130" s="2"/>
      <c r="H130" s="7">
        <v>0</v>
      </c>
      <c r="I130" s="2"/>
      <c r="J130" s="6">
        <f t="shared" si="69"/>
        <v>0</v>
      </c>
      <c r="K130" s="2"/>
      <c r="L130" s="7">
        <f t="shared" si="70"/>
        <v>0</v>
      </c>
      <c r="M130" s="2"/>
      <c r="N130" s="6">
        <f t="shared" si="71"/>
        <v>0</v>
      </c>
      <c r="O130" s="11"/>
      <c r="P130" s="7">
        <v>-7027.5</v>
      </c>
      <c r="Q130" s="2"/>
      <c r="R130" s="6">
        <f t="shared" si="72"/>
        <v>-1.3154482832111129E-3</v>
      </c>
      <c r="S130" s="2"/>
      <c r="T130" s="7">
        <v>0</v>
      </c>
      <c r="U130" s="2"/>
      <c r="V130" s="6">
        <f t="shared" si="73"/>
        <v>0</v>
      </c>
      <c r="W130" s="2"/>
      <c r="X130" s="7">
        <f t="shared" si="74"/>
        <v>-7027.5</v>
      </c>
      <c r="Y130" s="2"/>
      <c r="Z130" s="6">
        <f t="shared" si="75"/>
        <v>0</v>
      </c>
    </row>
    <row r="131" spans="1:26" s="24" customFormat="1" hidden="1" outlineLevel="2" x14ac:dyDescent="0.25">
      <c r="A131" s="29"/>
      <c r="B131" s="11" t="str">
        <f>CONCATENATE("          ", "6259", " - ", "ROYALTY &amp; COMMISSIONS")</f>
        <v xml:space="preserve">          6259 - ROYALTY &amp; COMMISSIONS</v>
      </c>
      <c r="C131" s="11"/>
      <c r="D131" s="7">
        <v>1174.22</v>
      </c>
      <c r="E131" s="2"/>
      <c r="F131" s="6">
        <f t="shared" si="68"/>
        <v>4.9975251988957313E-4</v>
      </c>
      <c r="G131" s="2"/>
      <c r="H131" s="7">
        <v>1724</v>
      </c>
      <c r="I131" s="2"/>
      <c r="J131" s="6">
        <f t="shared" si="69"/>
        <v>7.2273721207893426E-4</v>
      </c>
      <c r="K131" s="2"/>
      <c r="L131" s="7">
        <f t="shared" si="70"/>
        <v>-549.78</v>
      </c>
      <c r="M131" s="2"/>
      <c r="N131" s="6">
        <f t="shared" si="71"/>
        <v>-0.31889791183294663</v>
      </c>
      <c r="O131" s="11"/>
      <c r="P131" s="7">
        <v>1782.17</v>
      </c>
      <c r="Q131" s="2"/>
      <c r="R131" s="6">
        <f t="shared" si="72"/>
        <v>3.335969358790963E-4</v>
      </c>
      <c r="S131" s="2"/>
      <c r="T131" s="7">
        <v>11129</v>
      </c>
      <c r="U131" s="2"/>
      <c r="V131" s="6">
        <f t="shared" si="73"/>
        <v>1.6661309516947781E-3</v>
      </c>
      <c r="W131" s="2"/>
      <c r="X131" s="7">
        <f t="shared" si="74"/>
        <v>-9346.83</v>
      </c>
      <c r="Y131" s="2"/>
      <c r="Z131" s="6">
        <f t="shared" si="75"/>
        <v>-0.83986252134064154</v>
      </c>
    </row>
    <row r="132" spans="1:26" s="28" customFormat="1" outlineLevel="1" collapsed="1" x14ac:dyDescent="0.25">
      <c r="A132" s="27"/>
      <c r="B132" s="14" t="str">
        <f>CONCATENATE("     ","Services                                          ")</f>
        <v xml:space="preserve">     Services                                          </v>
      </c>
      <c r="C132" s="14"/>
      <c r="D132" s="1">
        <f>SUM(OSRRefD22_20x_0)</f>
        <v>26170.71</v>
      </c>
      <c r="E132" s="1"/>
      <c r="F132" s="5">
        <f t="shared" ref="F132:F137" si="76">IF(D$12=0,0,D132/D$12)</f>
        <v>1.1138354200915713E-2</v>
      </c>
      <c r="G132" s="1"/>
      <c r="H132" s="1">
        <f>SUM(OSRRefH22_20x_0)</f>
        <v>36989</v>
      </c>
      <c r="I132" s="1"/>
      <c r="J132" s="5">
        <f t="shared" ref="J132:J137" si="77">IF(H$12=0,0,H132/H$12)</f>
        <v>1.5506570033403539E-2</v>
      </c>
      <c r="K132" s="1"/>
      <c r="L132" s="1">
        <f t="shared" ref="L132:L137" si="78">+D132-H132</f>
        <v>-10818.29</v>
      </c>
      <c r="M132" s="1"/>
      <c r="N132" s="5">
        <f t="shared" ref="N132:N137" si="79">IF(H132=0,0,L132/H132)</f>
        <v>-0.29247316769850501</v>
      </c>
      <c r="O132" s="14"/>
      <c r="P132" s="1">
        <f>SUM(OSRRefP22_20x_0)</f>
        <v>98549.74</v>
      </c>
      <c r="Q132" s="1"/>
      <c r="R132" s="5">
        <f t="shared" ref="R132:R137" si="80">IF(P$12=0,0,P132/P$12)</f>
        <v>1.844711295537553E-2</v>
      </c>
      <c r="S132" s="1"/>
      <c r="T132" s="1">
        <f>SUM(OSRRefT22_20x_0)</f>
        <v>103948</v>
      </c>
      <c r="U132" s="1"/>
      <c r="V132" s="5">
        <f t="shared" ref="V132:V137" si="81">IF(T$12=0,0,T132/T$12)</f>
        <v>1.5562133180588444E-2</v>
      </c>
      <c r="W132" s="1"/>
      <c r="X132" s="1">
        <f t="shared" ref="X132:X137" si="82">+P132-T132</f>
        <v>-5398.2599999999948</v>
      </c>
      <c r="Y132" s="1"/>
      <c r="Z132" s="5">
        <f t="shared" ref="Z132:Z137" si="83">IF(T132=0,0,X132/T132)</f>
        <v>-5.1932312310001102E-2</v>
      </c>
    </row>
    <row r="133" spans="1:26" s="24" customFormat="1" hidden="1" outlineLevel="2" x14ac:dyDescent="0.25">
      <c r="A133" s="29"/>
      <c r="B133" s="11" t="str">
        <f>CONCATENATE("          ", "6282", " - ", "JANITORIAL/EXTERMINATOR EXPENS")</f>
        <v xml:space="preserve">          6282 - JANITORIAL/EXTERMINATOR EXPENS</v>
      </c>
      <c r="C133" s="11"/>
      <c r="D133" s="7">
        <v>4362.9399999999996</v>
      </c>
      <c r="E133" s="2"/>
      <c r="F133" s="6">
        <f t="shared" si="76"/>
        <v>1.8568839392337159E-3</v>
      </c>
      <c r="G133" s="2"/>
      <c r="H133" s="7">
        <v>7256</v>
      </c>
      <c r="I133" s="2"/>
      <c r="J133" s="6">
        <f t="shared" si="77"/>
        <v>3.0418684517660947E-3</v>
      </c>
      <c r="K133" s="2"/>
      <c r="L133" s="7">
        <f t="shared" si="78"/>
        <v>-2893.0600000000004</v>
      </c>
      <c r="M133" s="2"/>
      <c r="N133" s="6">
        <f t="shared" si="79"/>
        <v>-0.39871278941565608</v>
      </c>
      <c r="O133" s="11"/>
      <c r="P133" s="7">
        <v>8747.6299999999992</v>
      </c>
      <c r="Q133" s="2"/>
      <c r="R133" s="6">
        <f t="shared" si="80"/>
        <v>1.6374322114074745E-3</v>
      </c>
      <c r="S133" s="2"/>
      <c r="T133" s="7">
        <v>21410</v>
      </c>
      <c r="U133" s="2"/>
      <c r="V133" s="6">
        <f t="shared" si="81"/>
        <v>3.205307186250804E-3</v>
      </c>
      <c r="W133" s="2"/>
      <c r="X133" s="7">
        <f t="shared" si="82"/>
        <v>-12662.37</v>
      </c>
      <c r="Y133" s="2"/>
      <c r="Z133" s="6">
        <f t="shared" si="83"/>
        <v>-0.5914231667445119</v>
      </c>
    </row>
    <row r="134" spans="1:26" s="24" customFormat="1" hidden="1" outlineLevel="2" x14ac:dyDescent="0.25">
      <c r="A134" s="29"/>
      <c r="B134" s="11" t="str">
        <f>CONCATENATE("          ", "6283", " - ", "PLANT SERVICE")</f>
        <v xml:space="preserve">          6283 - PLANT SERVICE</v>
      </c>
      <c r="C134" s="11"/>
      <c r="D134" s="7"/>
      <c r="E134" s="2"/>
      <c r="F134" s="6">
        <f t="shared" si="76"/>
        <v>0</v>
      </c>
      <c r="G134" s="2"/>
      <c r="H134" s="7">
        <v>100</v>
      </c>
      <c r="I134" s="2"/>
      <c r="J134" s="6">
        <f t="shared" si="77"/>
        <v>4.1922112069543752E-5</v>
      </c>
      <c r="K134" s="2"/>
      <c r="L134" s="7">
        <f t="shared" si="78"/>
        <v>-100</v>
      </c>
      <c r="M134" s="2"/>
      <c r="N134" s="6">
        <f t="shared" si="79"/>
        <v>-1</v>
      </c>
      <c r="O134" s="11"/>
      <c r="P134" s="7"/>
      <c r="Q134" s="2"/>
      <c r="R134" s="6">
        <f t="shared" si="80"/>
        <v>0</v>
      </c>
      <c r="S134" s="2"/>
      <c r="T134" s="7">
        <v>300</v>
      </c>
      <c r="U134" s="2"/>
      <c r="V134" s="6">
        <f t="shared" si="81"/>
        <v>4.4913225402860407E-5</v>
      </c>
      <c r="W134" s="2"/>
      <c r="X134" s="7">
        <f t="shared" si="82"/>
        <v>-300</v>
      </c>
      <c r="Y134" s="2"/>
      <c r="Z134" s="6">
        <f t="shared" si="83"/>
        <v>-1</v>
      </c>
    </row>
    <row r="135" spans="1:26" s="24" customFormat="1" hidden="1" outlineLevel="2" x14ac:dyDescent="0.25">
      <c r="A135" s="29"/>
      <c r="B135" s="11" t="str">
        <f>CONCATENATE("          ", "6284", " - ", "TRASH REMOVAL EXPENSE")</f>
        <v xml:space="preserve">          6284 - TRASH REMOVAL EXPENSE</v>
      </c>
      <c r="C135" s="11"/>
      <c r="D135" s="7">
        <v>149.69999999999999</v>
      </c>
      <c r="E135" s="2"/>
      <c r="F135" s="6">
        <f t="shared" si="76"/>
        <v>6.3712892156043231E-5</v>
      </c>
      <c r="G135" s="2"/>
      <c r="H135" s="7">
        <v>1720</v>
      </c>
      <c r="I135" s="2"/>
      <c r="J135" s="6">
        <f t="shared" si="77"/>
        <v>7.2106032759615261E-4</v>
      </c>
      <c r="K135" s="2"/>
      <c r="L135" s="7">
        <f t="shared" si="78"/>
        <v>-1570.3</v>
      </c>
      <c r="M135" s="2"/>
      <c r="N135" s="6">
        <f t="shared" si="79"/>
        <v>-0.91296511627906973</v>
      </c>
      <c r="O135" s="11"/>
      <c r="P135" s="7">
        <v>441.97</v>
      </c>
      <c r="Q135" s="2"/>
      <c r="R135" s="6">
        <f t="shared" si="80"/>
        <v>8.2730512661802295E-5</v>
      </c>
      <c r="S135" s="2"/>
      <c r="T135" s="7">
        <v>5040</v>
      </c>
      <c r="U135" s="2"/>
      <c r="V135" s="6">
        <f t="shared" si="81"/>
        <v>7.5454218676805477E-4</v>
      </c>
      <c r="W135" s="2"/>
      <c r="X135" s="7">
        <f t="shared" si="82"/>
        <v>-4598.03</v>
      </c>
      <c r="Y135" s="2"/>
      <c r="Z135" s="6">
        <f t="shared" si="83"/>
        <v>-0.91230753968253964</v>
      </c>
    </row>
    <row r="136" spans="1:26" s="24" customFormat="1" hidden="1" outlineLevel="2" x14ac:dyDescent="0.25">
      <c r="A136" s="29"/>
      <c r="B136" s="11" t="str">
        <f>CONCATENATE("          ", "6285", " - ", "JANITORIAL SERVICES")</f>
        <v xml:space="preserve">          6285 - JANITORIAL SERVICES</v>
      </c>
      <c r="C136" s="11"/>
      <c r="D136" s="7">
        <v>20228.560000000001</v>
      </c>
      <c r="E136" s="2"/>
      <c r="F136" s="6">
        <f t="shared" si="76"/>
        <v>8.6093524499134943E-3</v>
      </c>
      <c r="G136" s="2"/>
      <c r="H136" s="7">
        <v>22559</v>
      </c>
      <c r="I136" s="2"/>
      <c r="J136" s="6">
        <f t="shared" si="77"/>
        <v>9.4572092617683755E-3</v>
      </c>
      <c r="K136" s="2"/>
      <c r="L136" s="7">
        <f t="shared" si="78"/>
        <v>-2330.4399999999987</v>
      </c>
      <c r="M136" s="2"/>
      <c r="N136" s="6">
        <f t="shared" si="79"/>
        <v>-0.10330422447803532</v>
      </c>
      <c r="O136" s="11"/>
      <c r="P136" s="7">
        <v>84293.09</v>
      </c>
      <c r="Q136" s="2"/>
      <c r="R136" s="6">
        <f t="shared" si="80"/>
        <v>1.5778470370268208E-2</v>
      </c>
      <c r="S136" s="2"/>
      <c r="T136" s="7">
        <v>62494</v>
      </c>
      <c r="U136" s="2"/>
      <c r="V136" s="6">
        <f t="shared" si="81"/>
        <v>9.3560236944211939E-3</v>
      </c>
      <c r="W136" s="2"/>
      <c r="X136" s="7">
        <f t="shared" si="82"/>
        <v>21799.089999999997</v>
      </c>
      <c r="Y136" s="2"/>
      <c r="Z136" s="6">
        <f t="shared" si="83"/>
        <v>0.34881892661695518</v>
      </c>
    </row>
    <row r="137" spans="1:26" s="24" customFormat="1" hidden="1" outlineLevel="2" x14ac:dyDescent="0.25">
      <c r="A137" s="29"/>
      <c r="B137" s="11" t="str">
        <f>CONCATENATE("          ", "6286", " - ", "LAUNDRY EXPENSE")</f>
        <v xml:space="preserve">          6286 - LAUNDRY EXPENSE</v>
      </c>
      <c r="C137" s="11"/>
      <c r="D137" s="7">
        <v>1429.51</v>
      </c>
      <c r="E137" s="2"/>
      <c r="F137" s="6">
        <f t="shared" si="76"/>
        <v>6.0840491961246072E-4</v>
      </c>
      <c r="G137" s="2"/>
      <c r="H137" s="7">
        <v>5354</v>
      </c>
      <c r="I137" s="2"/>
      <c r="J137" s="6">
        <f t="shared" si="77"/>
        <v>2.2445098802033724E-3</v>
      </c>
      <c r="K137" s="2"/>
      <c r="L137" s="7">
        <f t="shared" si="78"/>
        <v>-3924.49</v>
      </c>
      <c r="M137" s="2"/>
      <c r="N137" s="6">
        <f t="shared" si="79"/>
        <v>-0.73300149420993643</v>
      </c>
      <c r="O137" s="11"/>
      <c r="P137" s="7">
        <v>5067.05</v>
      </c>
      <c r="Q137" s="2"/>
      <c r="R137" s="6">
        <f t="shared" si="80"/>
        <v>9.4847986103804621E-4</v>
      </c>
      <c r="S137" s="2"/>
      <c r="T137" s="7">
        <v>14704</v>
      </c>
      <c r="U137" s="2"/>
      <c r="V137" s="6">
        <f t="shared" si="81"/>
        <v>2.2013468877455315E-3</v>
      </c>
      <c r="W137" s="2"/>
      <c r="X137" s="7">
        <f t="shared" si="82"/>
        <v>-9636.9500000000007</v>
      </c>
      <c r="Y137" s="2"/>
      <c r="Z137" s="6">
        <f t="shared" si="83"/>
        <v>-0.65539649075081619</v>
      </c>
    </row>
    <row r="138" spans="1:26" s="28" customFormat="1" outlineLevel="1" collapsed="1" x14ac:dyDescent="0.25">
      <c r="A138" s="27"/>
      <c r="B138" s="14" t="str">
        <f>CONCATENATE("     ","Subscriptions &amp; Dues                              ")</f>
        <v xml:space="preserve">     Subscriptions &amp; Dues                              </v>
      </c>
      <c r="C138" s="14"/>
      <c r="D138" s="1">
        <f>SUM(OSRRefD22_21x_0)</f>
        <v>336.37</v>
      </c>
      <c r="E138" s="1"/>
      <c r="F138" s="5">
        <f t="shared" ref="F138:F140" si="84">IF(D$12=0,0,D138/D$12)</f>
        <v>1.4316035761207925E-4</v>
      </c>
      <c r="G138" s="1"/>
      <c r="H138" s="1">
        <f>SUM(OSRRefH22_21x_0)</f>
        <v>1076</v>
      </c>
      <c r="I138" s="1"/>
      <c r="J138" s="5">
        <f t="shared" ref="J138:J140" si="85">IF(H$12=0,0,H138/H$12)</f>
        <v>4.5108192586829077E-4</v>
      </c>
      <c r="K138" s="1"/>
      <c r="L138" s="1">
        <f t="shared" ref="L138:L140" si="86">+D138-H138</f>
        <v>-739.63</v>
      </c>
      <c r="M138" s="1"/>
      <c r="N138" s="5">
        <f t="shared" ref="N138:N140" si="87">IF(H138=0,0,L138/H138)</f>
        <v>-0.68738847583643126</v>
      </c>
      <c r="O138" s="14"/>
      <c r="P138" s="1">
        <f>SUM(OSRRefP22_21x_0)</f>
        <v>1185.95</v>
      </c>
      <c r="Q138" s="1"/>
      <c r="R138" s="5">
        <f t="shared" ref="R138:R140" si="88">IF(P$12=0,0,P138/P$12)</f>
        <v>2.219930119493731E-4</v>
      </c>
      <c r="S138" s="1"/>
      <c r="T138" s="1">
        <f>SUM(OSRRefT22_21x_0)</f>
        <v>5373</v>
      </c>
      <c r="U138" s="1"/>
      <c r="V138" s="5">
        <f t="shared" ref="V138:V140" si="89">IF(T$12=0,0,T138/T$12)</f>
        <v>8.0439586696522982E-4</v>
      </c>
      <c r="W138" s="1"/>
      <c r="X138" s="1">
        <f t="shared" ref="X138:X140" si="90">+P138-T138</f>
        <v>-4187.05</v>
      </c>
      <c r="Y138" s="1"/>
      <c r="Z138" s="5">
        <f t="shared" ref="Z138:Z140" si="91">IF(T138=0,0,X138/T138)</f>
        <v>-0.7792760096780198</v>
      </c>
    </row>
    <row r="139" spans="1:26" s="24" customFormat="1" hidden="1" outlineLevel="2" x14ac:dyDescent="0.25">
      <c r="A139" s="29"/>
      <c r="B139" s="11" t="str">
        <f>CONCATENATE("          ", "6258", " - ", "MEMBERSHIP DUES")</f>
        <v xml:space="preserve">          6258 - MEMBERSHIP DUES</v>
      </c>
      <c r="C139" s="11"/>
      <c r="D139" s="7">
        <v>-72.56</v>
      </c>
      <c r="E139" s="2"/>
      <c r="F139" s="6">
        <f t="shared" si="84"/>
        <v>-3.0881813325601188E-5</v>
      </c>
      <c r="G139" s="2"/>
      <c r="H139" s="7">
        <v>385</v>
      </c>
      <c r="I139" s="2"/>
      <c r="J139" s="6">
        <f t="shared" si="85"/>
        <v>1.6140013146774345E-4</v>
      </c>
      <c r="K139" s="2"/>
      <c r="L139" s="7">
        <f t="shared" si="86"/>
        <v>-457.56</v>
      </c>
      <c r="M139" s="2"/>
      <c r="N139" s="6">
        <f t="shared" si="87"/>
        <v>-1.1884675324675325</v>
      </c>
      <c r="O139" s="11"/>
      <c r="P139" s="7">
        <v>52.76</v>
      </c>
      <c r="Q139" s="2"/>
      <c r="R139" s="6">
        <f t="shared" si="88"/>
        <v>9.8759233613971281E-6</v>
      </c>
      <c r="S139" s="2"/>
      <c r="T139" s="7">
        <v>3550</v>
      </c>
      <c r="U139" s="2"/>
      <c r="V139" s="6">
        <f t="shared" si="89"/>
        <v>5.3147316726718141E-4</v>
      </c>
      <c r="W139" s="2"/>
      <c r="X139" s="7">
        <f t="shared" si="90"/>
        <v>-3497.24</v>
      </c>
      <c r="Y139" s="2"/>
      <c r="Z139" s="6">
        <f t="shared" si="91"/>
        <v>-0.98513802816901397</v>
      </c>
    </row>
    <row r="140" spans="1:26" s="24" customFormat="1" hidden="1" outlineLevel="2" x14ac:dyDescent="0.25">
      <c r="A140" s="29"/>
      <c r="B140" s="11" t="str">
        <f>CONCATENATE("          ", "6275", " - ", "SUBSCRIPTIONS")</f>
        <v xml:space="preserve">          6275 - SUBSCRIPTIONS</v>
      </c>
      <c r="C140" s="11"/>
      <c r="D140" s="7">
        <v>408.93</v>
      </c>
      <c r="E140" s="2"/>
      <c r="F140" s="6">
        <f t="shared" si="84"/>
        <v>1.7404217093768044E-4</v>
      </c>
      <c r="G140" s="2"/>
      <c r="H140" s="7">
        <v>691</v>
      </c>
      <c r="I140" s="2"/>
      <c r="J140" s="6">
        <f t="shared" si="85"/>
        <v>2.8968179440054732E-4</v>
      </c>
      <c r="K140" s="2"/>
      <c r="L140" s="7">
        <f t="shared" si="86"/>
        <v>-282.07</v>
      </c>
      <c r="M140" s="2"/>
      <c r="N140" s="6">
        <f t="shared" si="87"/>
        <v>-0.40820549927641098</v>
      </c>
      <c r="O140" s="11"/>
      <c r="P140" s="7">
        <v>1133.19</v>
      </c>
      <c r="Q140" s="2"/>
      <c r="R140" s="6">
        <f t="shared" si="88"/>
        <v>2.1211708858797596E-4</v>
      </c>
      <c r="S140" s="2"/>
      <c r="T140" s="7">
        <v>1823</v>
      </c>
      <c r="U140" s="2"/>
      <c r="V140" s="6">
        <f t="shared" si="89"/>
        <v>2.729226996980484E-4</v>
      </c>
      <c r="W140" s="2"/>
      <c r="X140" s="7">
        <f t="shared" si="90"/>
        <v>-689.81</v>
      </c>
      <c r="Y140" s="2"/>
      <c r="Z140" s="6">
        <f t="shared" si="91"/>
        <v>-0.37839275918815135</v>
      </c>
    </row>
    <row r="141" spans="1:26" s="28" customFormat="1" outlineLevel="1" collapsed="1" x14ac:dyDescent="0.25">
      <c r="A141" s="27"/>
      <c r="B141" s="14" t="str">
        <f>CONCATENATE("     ","Supplies                                          ")</f>
        <v xml:space="preserve">     Supplies                                          </v>
      </c>
      <c r="C141" s="14"/>
      <c r="D141" s="1">
        <f>SUM(OSRRefD22_22x_0)</f>
        <v>57008.959999999999</v>
      </c>
      <c r="E141" s="1"/>
      <c r="F141" s="5">
        <f t="shared" ref="F141:F151" si="92">IF(D$12=0,0,D141/D$12)</f>
        <v>2.426323126525172E-2</v>
      </c>
      <c r="G141" s="1"/>
      <c r="H141" s="1">
        <f>SUM(OSRRefH22_22x_0)</f>
        <v>56745</v>
      </c>
      <c r="I141" s="1"/>
      <c r="J141" s="5">
        <f t="shared" ref="J141:J151" si="93">IF(H$12=0,0,H141/H$12)</f>
        <v>2.3788702493862602E-2</v>
      </c>
      <c r="K141" s="1"/>
      <c r="L141" s="1">
        <f t="shared" ref="L141:L151" si="94">+D141-H141</f>
        <v>263.95999999999913</v>
      </c>
      <c r="M141" s="1"/>
      <c r="N141" s="5">
        <f t="shared" ref="N141:N151" si="95">IF(H141=0,0,L141/H141)</f>
        <v>4.6516873733368422E-3</v>
      </c>
      <c r="O141" s="14"/>
      <c r="P141" s="1">
        <f>SUM(OSRRefP22_22x_0)</f>
        <v>118225.43</v>
      </c>
      <c r="Q141" s="1"/>
      <c r="R141" s="5">
        <f t="shared" ref="R141:R151" si="96">IF(P$12=0,0,P141/P$12)</f>
        <v>2.2130122934954904E-2</v>
      </c>
      <c r="S141" s="1"/>
      <c r="T141" s="1">
        <f>SUM(OSRRefT22_22x_0)</f>
        <v>170493</v>
      </c>
      <c r="U141" s="1"/>
      <c r="V141" s="5">
        <f t="shared" ref="V141:V151" si="97">IF(T$12=0,0,T141/T$12)</f>
        <v>2.5524635128699596E-2</v>
      </c>
      <c r="W141" s="1"/>
      <c r="X141" s="1">
        <f t="shared" ref="X141:X151" si="98">+P141-T141</f>
        <v>-52267.570000000007</v>
      </c>
      <c r="Y141" s="1"/>
      <c r="Z141" s="5">
        <f t="shared" ref="Z141:Z151" si="99">IF(T141=0,0,X141/T141)</f>
        <v>-0.30656724909527083</v>
      </c>
    </row>
    <row r="142" spans="1:26" s="24" customFormat="1" hidden="1" outlineLevel="2" x14ac:dyDescent="0.25">
      <c r="A142" s="29"/>
      <c r="B142" s="11" t="str">
        <f>CONCATENATE("          ", "6234", " - ", "EXPENDABLE SUPPLIES &amp; EQUIPMEN")</f>
        <v xml:space="preserve">          6234 - EXPENDABLE SUPPLIES &amp; EQUIPMEN</v>
      </c>
      <c r="C142" s="11"/>
      <c r="D142" s="7">
        <v>21.98</v>
      </c>
      <c r="E142" s="2"/>
      <c r="F142" s="6">
        <f t="shared" si="92"/>
        <v>9.3547720079480988E-6</v>
      </c>
      <c r="G142" s="2"/>
      <c r="H142" s="7">
        <v>6492</v>
      </c>
      <c r="I142" s="2"/>
      <c r="J142" s="6">
        <f t="shared" si="93"/>
        <v>2.7215835155547804E-3</v>
      </c>
      <c r="K142" s="2"/>
      <c r="L142" s="7">
        <f t="shared" si="94"/>
        <v>-6470.02</v>
      </c>
      <c r="M142" s="2"/>
      <c r="N142" s="6">
        <f t="shared" si="95"/>
        <v>-0.99661429451632788</v>
      </c>
      <c r="O142" s="11"/>
      <c r="P142" s="7">
        <v>21.98</v>
      </c>
      <c r="Q142" s="2"/>
      <c r="R142" s="6">
        <f t="shared" si="96"/>
        <v>4.1143441145471734E-6</v>
      </c>
      <c r="S142" s="2"/>
      <c r="T142" s="7">
        <v>18976</v>
      </c>
      <c r="U142" s="2"/>
      <c r="V142" s="6">
        <f t="shared" si="97"/>
        <v>2.8409112174822633E-3</v>
      </c>
      <c r="W142" s="2"/>
      <c r="X142" s="7">
        <f t="shared" si="98"/>
        <v>-18954.02</v>
      </c>
      <c r="Y142" s="2"/>
      <c r="Z142" s="6">
        <f t="shared" si="99"/>
        <v>-0.99884169477234408</v>
      </c>
    </row>
    <row r="143" spans="1:26" s="24" customFormat="1" hidden="1" outlineLevel="2" x14ac:dyDescent="0.25">
      <c r="A143" s="29"/>
      <c r="B143" s="11" t="str">
        <f>CONCATENATE("          ", "6235", " - ", "COVID-19 EXPENSES")</f>
        <v xml:space="preserve">          6235 - COVID-19 EXPENSES</v>
      </c>
      <c r="C143" s="11"/>
      <c r="D143" s="7">
        <v>655.99</v>
      </c>
      <c r="E143" s="2"/>
      <c r="F143" s="6">
        <f t="shared" si="92"/>
        <v>2.7919185120536274E-4</v>
      </c>
      <c r="G143" s="2"/>
      <c r="H143" s="7">
        <v>375</v>
      </c>
      <c r="I143" s="2"/>
      <c r="J143" s="6">
        <f t="shared" si="93"/>
        <v>1.5720792026078907E-4</v>
      </c>
      <c r="K143" s="2"/>
      <c r="L143" s="7">
        <f t="shared" si="94"/>
        <v>280.99</v>
      </c>
      <c r="M143" s="2"/>
      <c r="N143" s="6">
        <f t="shared" si="95"/>
        <v>0.74930666666666668</v>
      </c>
      <c r="O143" s="11"/>
      <c r="P143" s="7">
        <v>3623.82</v>
      </c>
      <c r="Q143" s="2"/>
      <c r="R143" s="6">
        <f t="shared" si="96"/>
        <v>6.783276837660755E-4</v>
      </c>
      <c r="S143" s="2"/>
      <c r="T143" s="7">
        <v>1375</v>
      </c>
      <c r="U143" s="2"/>
      <c r="V143" s="6">
        <f t="shared" si="97"/>
        <v>2.0585228309644352E-4</v>
      </c>
      <c r="W143" s="2"/>
      <c r="X143" s="7">
        <f t="shared" si="98"/>
        <v>2248.8200000000002</v>
      </c>
      <c r="Y143" s="2"/>
      <c r="Z143" s="6">
        <f t="shared" si="99"/>
        <v>1.6355054545454546</v>
      </c>
    </row>
    <row r="144" spans="1:26" s="24" customFormat="1" hidden="1" outlineLevel="2" x14ac:dyDescent="0.25">
      <c r="A144" s="29"/>
      <c r="B144" s="11" t="str">
        <f>CONCATENATE("          ", "6237", " - ", "JANITORIAL SUPPLIES")</f>
        <v xml:space="preserve">          6237 - JANITORIAL SUPPLIES</v>
      </c>
      <c r="C144" s="11"/>
      <c r="D144" s="7">
        <v>13865.8</v>
      </c>
      <c r="E144" s="2"/>
      <c r="F144" s="6">
        <f t="shared" si="92"/>
        <v>5.9013374753324266E-3</v>
      </c>
      <c r="G144" s="2"/>
      <c r="H144" s="7">
        <v>10346</v>
      </c>
      <c r="I144" s="2"/>
      <c r="J144" s="6">
        <f t="shared" si="93"/>
        <v>4.3372617147149966E-3</v>
      </c>
      <c r="K144" s="2"/>
      <c r="L144" s="7">
        <f t="shared" si="94"/>
        <v>3519.7999999999993</v>
      </c>
      <c r="M144" s="2"/>
      <c r="N144" s="6">
        <f t="shared" si="95"/>
        <v>0.34020877633868157</v>
      </c>
      <c r="O144" s="11"/>
      <c r="P144" s="7">
        <v>24278.94</v>
      </c>
      <c r="Q144" s="2"/>
      <c r="R144" s="6">
        <f t="shared" si="96"/>
        <v>4.5446730617126454E-3</v>
      </c>
      <c r="S144" s="2"/>
      <c r="T144" s="7">
        <v>34523</v>
      </c>
      <c r="U144" s="2"/>
      <c r="V144" s="6">
        <f t="shared" si="97"/>
        <v>5.1684642686098325E-3</v>
      </c>
      <c r="W144" s="2"/>
      <c r="X144" s="7">
        <f t="shared" si="98"/>
        <v>-10244.060000000001</v>
      </c>
      <c r="Y144" s="2"/>
      <c r="Z144" s="6">
        <f t="shared" si="99"/>
        <v>-0.29673145439272375</v>
      </c>
    </row>
    <row r="145" spans="1:26" s="24" customFormat="1" hidden="1" outlineLevel="2" x14ac:dyDescent="0.25">
      <c r="A145" s="29"/>
      <c r="B145" s="11" t="str">
        <f>CONCATENATE("          ", "6239", " - ", "KITCHEN SUPPLIES")</f>
        <v xml:space="preserve">          6239 - KITCHEN SUPPLIES</v>
      </c>
      <c r="C145" s="11"/>
      <c r="D145" s="7">
        <v>11018.05</v>
      </c>
      <c r="E145" s="2"/>
      <c r="F145" s="6">
        <f t="shared" si="92"/>
        <v>4.6893241911816442E-3</v>
      </c>
      <c r="G145" s="2"/>
      <c r="H145" s="7">
        <v>4313</v>
      </c>
      <c r="I145" s="2"/>
      <c r="J145" s="6">
        <f t="shared" si="93"/>
        <v>1.8081006935594221E-3</v>
      </c>
      <c r="K145" s="2"/>
      <c r="L145" s="7">
        <f t="shared" si="94"/>
        <v>6705.0499999999993</v>
      </c>
      <c r="M145" s="2"/>
      <c r="N145" s="6">
        <f t="shared" si="95"/>
        <v>1.5546139578019937</v>
      </c>
      <c r="O145" s="11"/>
      <c r="P145" s="7">
        <v>14119.88</v>
      </c>
      <c r="Q145" s="2"/>
      <c r="R145" s="6">
        <f t="shared" si="96"/>
        <v>2.643041181806749E-3</v>
      </c>
      <c r="S145" s="2"/>
      <c r="T145" s="7">
        <v>22149</v>
      </c>
      <c r="U145" s="2"/>
      <c r="V145" s="6">
        <f t="shared" si="97"/>
        <v>3.3159434314931836E-3</v>
      </c>
      <c r="W145" s="2"/>
      <c r="X145" s="7">
        <f t="shared" si="98"/>
        <v>-8029.1200000000008</v>
      </c>
      <c r="Y145" s="2"/>
      <c r="Z145" s="6">
        <f t="shared" si="99"/>
        <v>-0.36250485349225703</v>
      </c>
    </row>
    <row r="146" spans="1:26" s="24" customFormat="1" hidden="1" outlineLevel="2" x14ac:dyDescent="0.25">
      <c r="A146" s="29"/>
      <c r="B146" s="11" t="str">
        <f>CONCATENATE("          ", "6241", " - ", "OFFICE EXPENSE")</f>
        <v xml:space="preserve">          6241 - OFFICE EXPENSE</v>
      </c>
      <c r="C146" s="11"/>
      <c r="D146" s="7">
        <v>2951.74</v>
      </c>
      <c r="E146" s="2"/>
      <c r="F146" s="6">
        <f t="shared" si="92"/>
        <v>1.2562718256023985E-3</v>
      </c>
      <c r="G146" s="2"/>
      <c r="H146" s="7">
        <v>2308</v>
      </c>
      <c r="I146" s="2"/>
      <c r="J146" s="6">
        <f t="shared" si="93"/>
        <v>9.6756234656506987E-4</v>
      </c>
      <c r="K146" s="2"/>
      <c r="L146" s="7">
        <f t="shared" si="94"/>
        <v>643.73999999999978</v>
      </c>
      <c r="M146" s="2"/>
      <c r="N146" s="6">
        <f t="shared" si="95"/>
        <v>0.27891681109185434</v>
      </c>
      <c r="O146" s="11"/>
      <c r="P146" s="7">
        <v>16693.97</v>
      </c>
      <c r="Q146" s="2"/>
      <c r="R146" s="6">
        <f t="shared" si="96"/>
        <v>3.1248743047282567E-3</v>
      </c>
      <c r="S146" s="2"/>
      <c r="T146" s="7">
        <v>9252</v>
      </c>
      <c r="U146" s="2"/>
      <c r="V146" s="6">
        <f t="shared" si="97"/>
        <v>1.3851238714242149E-3</v>
      </c>
      <c r="W146" s="2"/>
      <c r="X146" s="7">
        <f t="shared" si="98"/>
        <v>7441.9700000000012</v>
      </c>
      <c r="Y146" s="2"/>
      <c r="Z146" s="6">
        <f t="shared" si="99"/>
        <v>0.80436338089061832</v>
      </c>
    </row>
    <row r="147" spans="1:26" s="24" customFormat="1" hidden="1" outlineLevel="2" x14ac:dyDescent="0.25">
      <c r="A147" s="29"/>
      <c r="B147" s="11" t="str">
        <f>CONCATENATE("          ", "6243", " - ", "PAPER SUPPLIES")</f>
        <v xml:space="preserve">          6243 - PAPER SUPPLIES</v>
      </c>
      <c r="C147" s="11"/>
      <c r="D147" s="7">
        <v>23477.5</v>
      </c>
      <c r="E147" s="2"/>
      <c r="F147" s="6">
        <f t="shared" si="92"/>
        <v>9.9921137314195399E-3</v>
      </c>
      <c r="G147" s="2"/>
      <c r="H147" s="7">
        <v>22023</v>
      </c>
      <c r="I147" s="2"/>
      <c r="J147" s="6">
        <f t="shared" si="93"/>
        <v>9.2325067410756207E-3</v>
      </c>
      <c r="K147" s="2"/>
      <c r="L147" s="7">
        <f t="shared" si="94"/>
        <v>1454.5</v>
      </c>
      <c r="M147" s="2"/>
      <c r="N147" s="6">
        <f t="shared" si="95"/>
        <v>6.6044589747082591E-2</v>
      </c>
      <c r="O147" s="11"/>
      <c r="P147" s="7">
        <v>42827.41</v>
      </c>
      <c r="Q147" s="2"/>
      <c r="R147" s="6">
        <f t="shared" si="96"/>
        <v>8.0166834519926657E-3</v>
      </c>
      <c r="S147" s="2"/>
      <c r="T147" s="7">
        <v>53733</v>
      </c>
      <c r="U147" s="2"/>
      <c r="V147" s="6">
        <f t="shared" si="97"/>
        <v>8.0444078019063277E-3</v>
      </c>
      <c r="W147" s="2"/>
      <c r="X147" s="7">
        <f t="shared" si="98"/>
        <v>-10905.589999999997</v>
      </c>
      <c r="Y147" s="2"/>
      <c r="Z147" s="6">
        <f t="shared" si="99"/>
        <v>-0.20295888932313469</v>
      </c>
    </row>
    <row r="148" spans="1:26" s="24" customFormat="1" hidden="1" outlineLevel="2" x14ac:dyDescent="0.25">
      <c r="A148" s="29"/>
      <c r="B148" s="11" t="str">
        <f>CONCATENATE("          ", "6244", " - ", "SAFETY SUPPLY EXPENSE")</f>
        <v xml:space="preserve">          6244 - SAFETY SUPPLY EXPENSE</v>
      </c>
      <c r="C148" s="11"/>
      <c r="D148" s="7"/>
      <c r="E148" s="2"/>
      <c r="F148" s="6">
        <f t="shared" si="92"/>
        <v>0</v>
      </c>
      <c r="G148" s="2"/>
      <c r="H148" s="7">
        <v>525</v>
      </c>
      <c r="I148" s="2"/>
      <c r="J148" s="6">
        <f t="shared" si="93"/>
        <v>2.2009108836510471E-4</v>
      </c>
      <c r="K148" s="2"/>
      <c r="L148" s="7">
        <f t="shared" si="94"/>
        <v>-525</v>
      </c>
      <c r="M148" s="2"/>
      <c r="N148" s="6">
        <f t="shared" si="95"/>
        <v>-1</v>
      </c>
      <c r="O148" s="11"/>
      <c r="P148" s="7"/>
      <c r="Q148" s="2"/>
      <c r="R148" s="6">
        <f t="shared" si="96"/>
        <v>0</v>
      </c>
      <c r="S148" s="2"/>
      <c r="T148" s="7">
        <v>1625</v>
      </c>
      <c r="U148" s="2"/>
      <c r="V148" s="6">
        <f t="shared" si="97"/>
        <v>2.4327997093216052E-4</v>
      </c>
      <c r="W148" s="2"/>
      <c r="X148" s="7">
        <f t="shared" si="98"/>
        <v>-1625</v>
      </c>
      <c r="Y148" s="2"/>
      <c r="Z148" s="6">
        <f t="shared" si="99"/>
        <v>-1</v>
      </c>
    </row>
    <row r="149" spans="1:26" s="24" customFormat="1" hidden="1" outlineLevel="2" x14ac:dyDescent="0.25">
      <c r="A149" s="29"/>
      <c r="B149" s="11" t="str">
        <f>CONCATENATE("          ", "6245", " - ", "PRINTING")</f>
        <v xml:space="preserve">          6245 - PRINTING</v>
      </c>
      <c r="C149" s="11"/>
      <c r="D149" s="7">
        <v>276.43</v>
      </c>
      <c r="E149" s="2"/>
      <c r="F149" s="6">
        <f t="shared" si="92"/>
        <v>1.1764966452034091E-4</v>
      </c>
      <c r="G149" s="2"/>
      <c r="H149" s="7">
        <v>1700</v>
      </c>
      <c r="I149" s="2"/>
      <c r="J149" s="6">
        <f t="shared" si="93"/>
        <v>7.1267590518224379E-4</v>
      </c>
      <c r="K149" s="2"/>
      <c r="L149" s="7">
        <f t="shared" si="94"/>
        <v>-1423.57</v>
      </c>
      <c r="M149" s="2"/>
      <c r="N149" s="6">
        <f t="shared" si="95"/>
        <v>-0.83739411764705873</v>
      </c>
      <c r="O149" s="11"/>
      <c r="P149" s="7">
        <v>-323.75</v>
      </c>
      <c r="Q149" s="2"/>
      <c r="R149" s="6">
        <f t="shared" si="96"/>
        <v>-6.0601406145798333E-5</v>
      </c>
      <c r="S149" s="2"/>
      <c r="T149" s="7">
        <v>2455</v>
      </c>
      <c r="U149" s="2"/>
      <c r="V149" s="6">
        <f t="shared" si="97"/>
        <v>3.67539894546741E-4</v>
      </c>
      <c r="W149" s="2"/>
      <c r="X149" s="7">
        <f t="shared" si="98"/>
        <v>-2778.75</v>
      </c>
      <c r="Y149" s="2"/>
      <c r="Z149" s="6">
        <f t="shared" si="99"/>
        <v>-1.1318737270875763</v>
      </c>
    </row>
    <row r="150" spans="1:26" s="24" customFormat="1" hidden="1" outlineLevel="2" x14ac:dyDescent="0.25">
      <c r="A150" s="29"/>
      <c r="B150" s="11" t="str">
        <f>CONCATENATE("          ", "6247", " - ", "STORE SUPPLIES")</f>
        <v xml:space="preserve">          6247 - STORE SUPPLIES</v>
      </c>
      <c r="C150" s="11"/>
      <c r="D150" s="7">
        <v>4741.47</v>
      </c>
      <c r="E150" s="2"/>
      <c r="F150" s="6">
        <f t="shared" si="92"/>
        <v>2.0179877539820597E-3</v>
      </c>
      <c r="G150" s="2"/>
      <c r="H150" s="7">
        <v>8075</v>
      </c>
      <c r="I150" s="2"/>
      <c r="J150" s="6">
        <f t="shared" si="93"/>
        <v>3.3852105496156581E-3</v>
      </c>
      <c r="K150" s="2"/>
      <c r="L150" s="7">
        <f t="shared" si="94"/>
        <v>-3333.5299999999997</v>
      </c>
      <c r="M150" s="2"/>
      <c r="N150" s="6">
        <f t="shared" si="95"/>
        <v>-0.41282105263157892</v>
      </c>
      <c r="O150" s="11"/>
      <c r="P150" s="7">
        <v>16983.18</v>
      </c>
      <c r="Q150" s="2"/>
      <c r="R150" s="6">
        <f t="shared" si="96"/>
        <v>3.1790103129797666E-3</v>
      </c>
      <c r="S150" s="2"/>
      <c r="T150" s="7">
        <v>22041</v>
      </c>
      <c r="U150" s="2"/>
      <c r="V150" s="6">
        <f t="shared" si="97"/>
        <v>3.2997746703481538E-3</v>
      </c>
      <c r="W150" s="2"/>
      <c r="X150" s="7">
        <f t="shared" si="98"/>
        <v>-5057.82</v>
      </c>
      <c r="Y150" s="2"/>
      <c r="Z150" s="6">
        <f t="shared" si="99"/>
        <v>-0.22947325438954674</v>
      </c>
    </row>
    <row r="151" spans="1:26" s="24" customFormat="1" hidden="1" outlineLevel="2" x14ac:dyDescent="0.25">
      <c r="A151" s="29"/>
      <c r="B151" s="11" t="str">
        <f>CONCATENATE("          ", "6248", " - ", "UNIFORMS")</f>
        <v xml:space="preserve">          6248 - UNIFORMS</v>
      </c>
      <c r="C151" s="11"/>
      <c r="D151" s="7"/>
      <c r="E151" s="2"/>
      <c r="F151" s="6">
        <f t="shared" si="92"/>
        <v>0</v>
      </c>
      <c r="G151" s="2"/>
      <c r="H151" s="7">
        <v>588</v>
      </c>
      <c r="I151" s="2"/>
      <c r="J151" s="6">
        <f t="shared" si="93"/>
        <v>2.4650201896891726E-4</v>
      </c>
      <c r="K151" s="2"/>
      <c r="L151" s="7">
        <f t="shared" si="94"/>
        <v>-588</v>
      </c>
      <c r="M151" s="2"/>
      <c r="N151" s="6">
        <f t="shared" si="95"/>
        <v>-1</v>
      </c>
      <c r="O151" s="11"/>
      <c r="P151" s="7"/>
      <c r="Q151" s="2"/>
      <c r="R151" s="6">
        <f t="shared" si="96"/>
        <v>0</v>
      </c>
      <c r="S151" s="2"/>
      <c r="T151" s="7">
        <v>4364</v>
      </c>
      <c r="U151" s="2"/>
      <c r="V151" s="6">
        <f t="shared" si="97"/>
        <v>6.5333771886027603E-4</v>
      </c>
      <c r="W151" s="2"/>
      <c r="X151" s="7">
        <f t="shared" si="98"/>
        <v>-4364</v>
      </c>
      <c r="Y151" s="2"/>
      <c r="Z151" s="6">
        <f t="shared" si="99"/>
        <v>-1</v>
      </c>
    </row>
    <row r="152" spans="1:26" s="28" customFormat="1" outlineLevel="1" collapsed="1" x14ac:dyDescent="0.25">
      <c r="A152" s="27"/>
      <c r="B152" s="14" t="str">
        <f>CONCATENATE("     ","Telephone/Data Lines                              ")</f>
        <v xml:space="preserve">     Telephone/Data Lines                              </v>
      </c>
      <c r="C152" s="14"/>
      <c r="D152" s="1">
        <f>SUM(OSRRefD22_23x_0)</f>
        <v>3604.77</v>
      </c>
      <c r="E152" s="1"/>
      <c r="F152" s="5">
        <f t="shared" ref="F152:F154" si="100">IF(D$12=0,0,D152/D$12)</f>
        <v>1.5342038894945891E-3</v>
      </c>
      <c r="G152" s="1"/>
      <c r="H152" s="1">
        <f>SUM(OSRRefH22_23x_0)</f>
        <v>3649</v>
      </c>
      <c r="I152" s="1"/>
      <c r="J152" s="5">
        <f t="shared" ref="J152:J154" si="101">IF(H$12=0,0,H152/H$12)</f>
        <v>1.5297378694176516E-3</v>
      </c>
      <c r="K152" s="1"/>
      <c r="L152" s="1">
        <f t="shared" ref="L152:L154" si="102">+D152-H152</f>
        <v>-44.230000000000018</v>
      </c>
      <c r="M152" s="1"/>
      <c r="N152" s="5">
        <f t="shared" ref="N152:N154" si="103">IF(H152=0,0,L152/H152)</f>
        <v>-1.2121129076459309E-2</v>
      </c>
      <c r="O152" s="14"/>
      <c r="P152" s="1">
        <f>SUM(OSRRefP22_23x_0)</f>
        <v>10222.1</v>
      </c>
      <c r="Q152" s="1"/>
      <c r="R152" s="5">
        <f t="shared" ref="R152:R154" si="104">IF(P$12=0,0,P152/P$12)</f>
        <v>1.9134320733991202E-3</v>
      </c>
      <c r="S152" s="1"/>
      <c r="T152" s="1">
        <f>SUM(OSRRefT22_23x_0)</f>
        <v>11147</v>
      </c>
      <c r="U152" s="1"/>
      <c r="V152" s="5">
        <f t="shared" ref="V152:V154" si="105">IF(T$12=0,0,T152/T$12)</f>
        <v>1.6688257452189498E-3</v>
      </c>
      <c r="W152" s="1"/>
      <c r="X152" s="1">
        <f t="shared" ref="X152:X154" si="106">+P152-T152</f>
        <v>-924.89999999999964</v>
      </c>
      <c r="Y152" s="1"/>
      <c r="Z152" s="5">
        <f t="shared" ref="Z152:Z154" si="107">IF(T152=0,0,X152/T152)</f>
        <v>-8.2972997218982658E-2</v>
      </c>
    </row>
    <row r="153" spans="1:26" s="24" customFormat="1" hidden="1" outlineLevel="2" x14ac:dyDescent="0.25">
      <c r="A153" s="29"/>
      <c r="B153" s="11" t="str">
        <f>CONCATENATE("          ", "6303", " - ", "DATA PHONE LINES")</f>
        <v xml:space="preserve">          6303 - DATA PHONE LINES</v>
      </c>
      <c r="C153" s="11"/>
      <c r="D153" s="7"/>
      <c r="E153" s="2"/>
      <c r="F153" s="6">
        <f t="shared" si="100"/>
        <v>0</v>
      </c>
      <c r="G153" s="2"/>
      <c r="H153" s="7">
        <v>243</v>
      </c>
      <c r="I153" s="2"/>
      <c r="J153" s="6">
        <f t="shared" si="101"/>
        <v>1.0187073232899132E-4</v>
      </c>
      <c r="K153" s="2"/>
      <c r="L153" s="7">
        <f t="shared" si="102"/>
        <v>-243</v>
      </c>
      <c r="M153" s="2"/>
      <c r="N153" s="6">
        <f t="shared" si="103"/>
        <v>-1</v>
      </c>
      <c r="O153" s="11"/>
      <c r="P153" s="7">
        <v>295</v>
      </c>
      <c r="Q153" s="2"/>
      <c r="R153" s="6">
        <f t="shared" si="104"/>
        <v>5.5219814094240955E-5</v>
      </c>
      <c r="S153" s="2"/>
      <c r="T153" s="7">
        <v>729</v>
      </c>
      <c r="U153" s="2"/>
      <c r="V153" s="6">
        <f t="shared" si="105"/>
        <v>1.0913913772895078E-4</v>
      </c>
      <c r="W153" s="2"/>
      <c r="X153" s="7">
        <f t="shared" si="106"/>
        <v>-434</v>
      </c>
      <c r="Y153" s="2"/>
      <c r="Z153" s="6">
        <f t="shared" si="107"/>
        <v>-0.59533607681755829</v>
      </c>
    </row>
    <row r="154" spans="1:26" s="24" customFormat="1" hidden="1" outlineLevel="2" x14ac:dyDescent="0.25">
      <c r="A154" s="29"/>
      <c r="B154" s="11" t="str">
        <f>CONCATENATE("          ", "6309", " - ", "TELEPHONE")</f>
        <v xml:space="preserve">          6309 - TELEPHONE</v>
      </c>
      <c r="C154" s="11"/>
      <c r="D154" s="7">
        <v>3604.77</v>
      </c>
      <c r="E154" s="2"/>
      <c r="F154" s="6">
        <f t="shared" si="100"/>
        <v>1.5342038894945891E-3</v>
      </c>
      <c r="G154" s="2"/>
      <c r="H154" s="7">
        <v>3406</v>
      </c>
      <c r="I154" s="2"/>
      <c r="J154" s="6">
        <f t="shared" si="101"/>
        <v>1.4278671370886603E-3</v>
      </c>
      <c r="K154" s="2"/>
      <c r="L154" s="7">
        <f t="shared" si="102"/>
        <v>198.76999999999998</v>
      </c>
      <c r="M154" s="2"/>
      <c r="N154" s="6">
        <f t="shared" si="103"/>
        <v>5.8358778625954191E-2</v>
      </c>
      <c r="O154" s="11"/>
      <c r="P154" s="7">
        <v>9927.1</v>
      </c>
      <c r="Q154" s="2"/>
      <c r="R154" s="6">
        <f t="shared" si="104"/>
        <v>1.8582122593048794E-3</v>
      </c>
      <c r="S154" s="2"/>
      <c r="T154" s="7">
        <v>10418</v>
      </c>
      <c r="U154" s="2"/>
      <c r="V154" s="6">
        <f t="shared" si="105"/>
        <v>1.5596866074899989E-3</v>
      </c>
      <c r="W154" s="2"/>
      <c r="X154" s="7">
        <f t="shared" si="106"/>
        <v>-490.89999999999964</v>
      </c>
      <c r="Y154" s="2"/>
      <c r="Z154" s="6">
        <f t="shared" si="107"/>
        <v>-4.7120368592820087E-2</v>
      </c>
    </row>
    <row r="155" spans="1:26" s="28" customFormat="1" outlineLevel="1" collapsed="1" x14ac:dyDescent="0.25">
      <c r="A155" s="27"/>
      <c r="B155" s="14" t="str">
        <f>CONCATENATE("     ","Training                                          ")</f>
        <v xml:space="preserve">     Training                                          </v>
      </c>
      <c r="C155" s="14"/>
      <c r="D155" s="1">
        <f>SUM(OSRRefD22_24x_0)</f>
        <v>595</v>
      </c>
      <c r="E155" s="1"/>
      <c r="F155" s="5">
        <f t="shared" ref="F155:F160" si="108">IF(D$12=0,0,D155/D$12)</f>
        <v>2.5323427410050588E-4</v>
      </c>
      <c r="G155" s="1"/>
      <c r="H155" s="1">
        <f>SUM(OSRRefH22_24x_0)</f>
        <v>840</v>
      </c>
      <c r="I155" s="1"/>
      <c r="J155" s="5">
        <f t="shared" ref="J155:J160" si="109">IF(H$12=0,0,H155/H$12)</f>
        <v>3.5214574138416754E-4</v>
      </c>
      <c r="K155" s="1"/>
      <c r="L155" s="1">
        <f t="shared" ref="L155:L160" si="110">+D155-H155</f>
        <v>-245</v>
      </c>
      <c r="M155" s="1"/>
      <c r="N155" s="5">
        <f t="shared" ref="N155:N160" si="111">IF(H155=0,0,L155/H155)</f>
        <v>-0.29166666666666669</v>
      </c>
      <c r="O155" s="14"/>
      <c r="P155" s="1">
        <f>SUM(OSRRefP22_24x_0)</f>
        <v>595</v>
      </c>
      <c r="Q155" s="1"/>
      <c r="R155" s="5">
        <f t="shared" ref="R155:R160" si="112">IF(P$12=0,0,P155/P$12)</f>
        <v>1.1137555724092667E-4</v>
      </c>
      <c r="S155" s="1"/>
      <c r="T155" s="1">
        <f>SUM(OSRRefT22_24x_0)</f>
        <v>2795</v>
      </c>
      <c r="U155" s="1"/>
      <c r="V155" s="5">
        <f t="shared" ref="V155:V160" si="113">IF(T$12=0,0,T155/T$12)</f>
        <v>4.1844155000331609E-4</v>
      </c>
      <c r="W155" s="1"/>
      <c r="X155" s="1">
        <f t="shared" ref="X155:X160" si="114">+P155-T155</f>
        <v>-2200</v>
      </c>
      <c r="Y155" s="1"/>
      <c r="Z155" s="5">
        <f t="shared" ref="Z155:Z160" si="115">IF(T155=0,0,X155/T155)</f>
        <v>-0.7871198568872988</v>
      </c>
    </row>
    <row r="156" spans="1:26" s="24" customFormat="1" hidden="1" outlineLevel="2" x14ac:dyDescent="0.25">
      <c r="A156" s="29"/>
      <c r="B156" s="11" t="str">
        <f>CONCATENATE("          ", "6376", " - ", "TRAINING")</f>
        <v xml:space="preserve">          6376 - TRAINING</v>
      </c>
      <c r="C156" s="11"/>
      <c r="D156" s="7">
        <v>595</v>
      </c>
      <c r="E156" s="2"/>
      <c r="F156" s="6">
        <f t="shared" si="108"/>
        <v>2.5323427410050588E-4</v>
      </c>
      <c r="G156" s="2"/>
      <c r="H156" s="7">
        <v>840</v>
      </c>
      <c r="I156" s="2"/>
      <c r="J156" s="6">
        <f t="shared" si="109"/>
        <v>3.5214574138416754E-4</v>
      </c>
      <c r="K156" s="2"/>
      <c r="L156" s="7">
        <f t="shared" si="110"/>
        <v>-245</v>
      </c>
      <c r="M156" s="2"/>
      <c r="N156" s="6">
        <f t="shared" si="111"/>
        <v>-0.29166666666666669</v>
      </c>
      <c r="O156" s="11"/>
      <c r="P156" s="7">
        <v>595</v>
      </c>
      <c r="Q156" s="2"/>
      <c r="R156" s="6">
        <f t="shared" si="112"/>
        <v>1.1137555724092667E-4</v>
      </c>
      <c r="S156" s="2"/>
      <c r="T156" s="7">
        <v>2795</v>
      </c>
      <c r="U156" s="2"/>
      <c r="V156" s="6">
        <f t="shared" si="113"/>
        <v>4.1844155000331609E-4</v>
      </c>
      <c r="W156" s="2"/>
      <c r="X156" s="7">
        <f t="shared" si="114"/>
        <v>-2200</v>
      </c>
      <c r="Y156" s="2"/>
      <c r="Z156" s="6">
        <f t="shared" si="115"/>
        <v>-0.7871198568872988</v>
      </c>
    </row>
    <row r="157" spans="1:26" s="28" customFormat="1" outlineLevel="1" collapsed="1" x14ac:dyDescent="0.25">
      <c r="A157" s="27"/>
      <c r="B157" s="14" t="str">
        <f>CONCATENATE("     ","Travel                                            ")</f>
        <v xml:space="preserve">     Travel                                            </v>
      </c>
      <c r="C157" s="14"/>
      <c r="D157" s="1">
        <f>SUM(OSRRefD22_25x_0)</f>
        <v>131.41</v>
      </c>
      <c r="E157" s="1"/>
      <c r="F157" s="5">
        <f t="shared" si="108"/>
        <v>5.5928598251340289E-5</v>
      </c>
      <c r="G157" s="1"/>
      <c r="H157" s="1">
        <f>SUM(OSRRefH22_25x_0)</f>
        <v>175</v>
      </c>
      <c r="I157" s="1"/>
      <c r="J157" s="5">
        <f t="shared" si="109"/>
        <v>7.3363696121701564E-5</v>
      </c>
      <c r="K157" s="1"/>
      <c r="L157" s="1">
        <f t="shared" si="110"/>
        <v>-43.59</v>
      </c>
      <c r="M157" s="1"/>
      <c r="N157" s="5">
        <f t="shared" si="111"/>
        <v>-0.2490857142857143</v>
      </c>
      <c r="O157" s="14"/>
      <c r="P157" s="1">
        <f>SUM(OSRRefP22_25x_0)</f>
        <v>1409.55</v>
      </c>
      <c r="Q157" s="1"/>
      <c r="R157" s="5">
        <f t="shared" si="112"/>
        <v>2.6384775917470281E-4</v>
      </c>
      <c r="S157" s="1"/>
      <c r="T157" s="1">
        <f>SUM(OSRRefT22_25x_0)</f>
        <v>525</v>
      </c>
      <c r="U157" s="1"/>
      <c r="V157" s="5">
        <f t="shared" si="113"/>
        <v>7.8598144455005705E-5</v>
      </c>
      <c r="W157" s="1"/>
      <c r="X157" s="1">
        <f t="shared" si="114"/>
        <v>884.55</v>
      </c>
      <c r="Y157" s="1"/>
      <c r="Z157" s="5">
        <f t="shared" si="115"/>
        <v>1.6848571428571428</v>
      </c>
    </row>
    <row r="158" spans="1:26" s="24" customFormat="1" hidden="1" outlineLevel="2" x14ac:dyDescent="0.25">
      <c r="A158" s="29"/>
      <c r="B158" s="11" t="str">
        <f>CONCATENATE("          ", "6292", " - ", "TRAVEL/CONFERENCE")</f>
        <v xml:space="preserve">          6292 - TRAVEL/CONFERENCE</v>
      </c>
      <c r="C158" s="11"/>
      <c r="D158" s="7"/>
      <c r="E158" s="2"/>
      <c r="F158" s="6">
        <f t="shared" si="108"/>
        <v>0</v>
      </c>
      <c r="G158" s="2"/>
      <c r="H158" s="7">
        <v>125</v>
      </c>
      <c r="I158" s="2"/>
      <c r="J158" s="6">
        <f t="shared" si="109"/>
        <v>5.2402640086929692E-5</v>
      </c>
      <c r="K158" s="2"/>
      <c r="L158" s="7">
        <f t="shared" si="110"/>
        <v>-125</v>
      </c>
      <c r="M158" s="2"/>
      <c r="N158" s="6">
        <f t="shared" si="111"/>
        <v>-1</v>
      </c>
      <c r="O158" s="11"/>
      <c r="P158" s="7">
        <v>1090</v>
      </c>
      <c r="Q158" s="2"/>
      <c r="R158" s="6">
        <f t="shared" si="112"/>
        <v>2.0403253343295811E-4</v>
      </c>
      <c r="S158" s="2"/>
      <c r="T158" s="7">
        <v>375</v>
      </c>
      <c r="U158" s="2"/>
      <c r="V158" s="6">
        <f t="shared" si="113"/>
        <v>5.6141531753575502E-5</v>
      </c>
      <c r="W158" s="2"/>
      <c r="X158" s="7">
        <f t="shared" si="114"/>
        <v>715</v>
      </c>
      <c r="Y158" s="2"/>
      <c r="Z158" s="6">
        <f t="shared" si="115"/>
        <v>1.9066666666666667</v>
      </c>
    </row>
    <row r="159" spans="1:26" s="24" customFormat="1" hidden="1" outlineLevel="2" x14ac:dyDescent="0.25">
      <c r="A159" s="29"/>
      <c r="B159" s="11" t="str">
        <f>CONCATENATE("          ", "6294", " - ", "TRAVEL OPERATIONAL")</f>
        <v xml:space="preserve">          6294 - TRAVEL OPERATIONAL</v>
      </c>
      <c r="C159" s="11"/>
      <c r="D159" s="7">
        <v>27.39</v>
      </c>
      <c r="E159" s="2"/>
      <c r="F159" s="6">
        <f t="shared" si="108"/>
        <v>1.1657288685063622E-5</v>
      </c>
      <c r="G159" s="2"/>
      <c r="H159" s="7">
        <v>25</v>
      </c>
      <c r="I159" s="2"/>
      <c r="J159" s="6">
        <f t="shared" si="109"/>
        <v>1.0480528017385938E-5</v>
      </c>
      <c r="K159" s="2"/>
      <c r="L159" s="7">
        <f t="shared" si="110"/>
        <v>2.3900000000000006</v>
      </c>
      <c r="M159" s="2"/>
      <c r="N159" s="6">
        <f t="shared" si="111"/>
        <v>9.5600000000000018E-2</v>
      </c>
      <c r="O159" s="11"/>
      <c r="P159" s="7">
        <v>215.53</v>
      </c>
      <c r="Q159" s="2"/>
      <c r="R159" s="6">
        <f t="shared" si="112"/>
        <v>4.0344157734683908E-5</v>
      </c>
      <c r="S159" s="2"/>
      <c r="T159" s="7">
        <v>75</v>
      </c>
      <c r="U159" s="2"/>
      <c r="V159" s="6">
        <f t="shared" si="113"/>
        <v>1.1228306350715102E-5</v>
      </c>
      <c r="W159" s="2"/>
      <c r="X159" s="7">
        <f t="shared" si="114"/>
        <v>140.53</v>
      </c>
      <c r="Y159" s="2"/>
      <c r="Z159" s="6">
        <f t="shared" si="115"/>
        <v>1.8737333333333333</v>
      </c>
    </row>
    <row r="160" spans="1:26" s="24" customFormat="1" hidden="1" outlineLevel="2" x14ac:dyDescent="0.25">
      <c r="A160" s="29"/>
      <c r="B160" s="11" t="str">
        <f>CONCATENATE("          ", "6298", " - ", "VEHICLE MILEAGE")</f>
        <v xml:space="preserve">          6298 - VEHICLE MILEAGE</v>
      </c>
      <c r="C160" s="11"/>
      <c r="D160" s="7">
        <v>104.02</v>
      </c>
      <c r="E160" s="2"/>
      <c r="F160" s="6">
        <f t="shared" si="108"/>
        <v>4.4271309566276669E-5</v>
      </c>
      <c r="G160" s="2"/>
      <c r="H160" s="7">
        <v>25</v>
      </c>
      <c r="I160" s="2"/>
      <c r="J160" s="6">
        <f t="shared" si="109"/>
        <v>1.0480528017385938E-5</v>
      </c>
      <c r="K160" s="2"/>
      <c r="L160" s="7">
        <f t="shared" si="110"/>
        <v>79.02</v>
      </c>
      <c r="M160" s="2"/>
      <c r="N160" s="6">
        <f t="shared" si="111"/>
        <v>3.1608000000000001</v>
      </c>
      <c r="O160" s="11"/>
      <c r="P160" s="7">
        <v>104.02</v>
      </c>
      <c r="Q160" s="2"/>
      <c r="R160" s="6">
        <f t="shared" si="112"/>
        <v>1.9471068007060826E-5</v>
      </c>
      <c r="S160" s="2"/>
      <c r="T160" s="7">
        <v>75</v>
      </c>
      <c r="U160" s="2"/>
      <c r="V160" s="6">
        <f t="shared" si="113"/>
        <v>1.1228306350715102E-5</v>
      </c>
      <c r="W160" s="2"/>
      <c r="X160" s="7">
        <f t="shared" si="114"/>
        <v>29.019999999999996</v>
      </c>
      <c r="Y160" s="2"/>
      <c r="Z160" s="6">
        <f t="shared" si="115"/>
        <v>0.3869333333333333</v>
      </c>
    </row>
    <row r="161" spans="1:26" s="28" customFormat="1" outlineLevel="1" collapsed="1" x14ac:dyDescent="0.25">
      <c r="A161" s="27"/>
      <c r="B161" s="14" t="str">
        <f>CONCATENATE("     ","Utilities                                         ")</f>
        <v xml:space="preserve">     Utilities                                         </v>
      </c>
      <c r="C161" s="14"/>
      <c r="D161" s="1">
        <f>SUM(OSRRefD22_26x_0)</f>
        <v>14287.6</v>
      </c>
      <c r="E161" s="1"/>
      <c r="F161" s="5">
        <f t="shared" ref="F161:F162" si="116">IF(D$12=0,0,D161/D$12)</f>
        <v>6.0808571674594745E-3</v>
      </c>
      <c r="G161" s="1"/>
      <c r="H161" s="1">
        <f>SUM(OSRRefH22_26x_0)</f>
        <v>14787</v>
      </c>
      <c r="I161" s="1"/>
      <c r="J161" s="5">
        <f t="shared" ref="J161:J162" si="117">IF(H$12=0,0,H161/H$12)</f>
        <v>6.1990227117234347E-3</v>
      </c>
      <c r="K161" s="1"/>
      <c r="L161" s="1">
        <f t="shared" ref="L161:L162" si="118">+D161-H161</f>
        <v>-499.39999999999964</v>
      </c>
      <c r="M161" s="1"/>
      <c r="N161" s="5">
        <f t="shared" ref="N161:N162" si="119">IF(H161=0,0,L161/H161)</f>
        <v>-3.3772908635964001E-2</v>
      </c>
      <c r="O161" s="14"/>
      <c r="P161" s="1">
        <f>SUM(OSRRefP22_26x_0)</f>
        <v>42861.38</v>
      </c>
      <c r="Q161" s="1"/>
      <c r="R161" s="5">
        <f t="shared" ref="R161:R162" si="120">IF(P$12=0,0,P161/P$12)</f>
        <v>8.0230421539749745E-3</v>
      </c>
      <c r="S161" s="1"/>
      <c r="T161" s="1">
        <f>SUM(OSRRefT22_26x_0)</f>
        <v>44361</v>
      </c>
      <c r="U161" s="1"/>
      <c r="V161" s="5">
        <f t="shared" ref="V161:V162" si="121">IF(T$12=0,0,T161/T$12)</f>
        <v>6.6413186403209675E-3</v>
      </c>
      <c r="W161" s="1"/>
      <c r="X161" s="1">
        <f t="shared" ref="X161:X162" si="122">+P161-T161</f>
        <v>-1499.6200000000026</v>
      </c>
      <c r="Y161" s="1"/>
      <c r="Z161" s="5">
        <f t="shared" ref="Z161:Z162" si="123">IF(T161=0,0,X161/T161)</f>
        <v>-3.3804918734924881E-2</v>
      </c>
    </row>
    <row r="162" spans="1:26" s="24" customFormat="1" hidden="1" outlineLevel="2" x14ac:dyDescent="0.25">
      <c r="A162" s="29"/>
      <c r="B162" s="11" t="str">
        <f>CONCATENATE("          ", "6274", " - ", "UTILITIES")</f>
        <v xml:space="preserve">          6274 - UTILITIES</v>
      </c>
      <c r="C162" s="11"/>
      <c r="D162" s="7">
        <v>14287.6</v>
      </c>
      <c r="E162" s="2"/>
      <c r="F162" s="6">
        <f t="shared" si="116"/>
        <v>6.0808571674594745E-3</v>
      </c>
      <c r="G162" s="2"/>
      <c r="H162" s="7">
        <v>14787</v>
      </c>
      <c r="I162" s="2"/>
      <c r="J162" s="6">
        <f t="shared" si="117"/>
        <v>6.1990227117234347E-3</v>
      </c>
      <c r="K162" s="2"/>
      <c r="L162" s="7">
        <f t="shared" si="118"/>
        <v>-499.39999999999964</v>
      </c>
      <c r="M162" s="2"/>
      <c r="N162" s="6">
        <f t="shared" si="119"/>
        <v>-3.3772908635964001E-2</v>
      </c>
      <c r="O162" s="11"/>
      <c r="P162" s="7">
        <v>42861.38</v>
      </c>
      <c r="Q162" s="2"/>
      <c r="R162" s="6">
        <f t="shared" si="120"/>
        <v>8.0230421539749745E-3</v>
      </c>
      <c r="S162" s="2"/>
      <c r="T162" s="7">
        <v>44361</v>
      </c>
      <c r="U162" s="2"/>
      <c r="V162" s="6">
        <f t="shared" si="121"/>
        <v>6.6413186403209675E-3</v>
      </c>
      <c r="W162" s="2"/>
      <c r="X162" s="7">
        <f t="shared" si="122"/>
        <v>-1499.6200000000026</v>
      </c>
      <c r="Y162" s="2"/>
      <c r="Z162" s="6">
        <f t="shared" si="123"/>
        <v>-3.3804918734924881E-2</v>
      </c>
    </row>
    <row r="163" spans="1:26" s="58" customFormat="1" x14ac:dyDescent="0.25">
      <c r="A163" s="36"/>
      <c r="B163" s="36"/>
      <c r="C163" s="36"/>
      <c r="D163" s="1"/>
      <c r="E163" s="1"/>
      <c r="F163" s="5"/>
      <c r="G163" s="1"/>
      <c r="H163" s="1"/>
      <c r="I163" s="1"/>
      <c r="J163" s="5"/>
      <c r="K163" s="1"/>
      <c r="L163" s="1"/>
      <c r="M163" s="1"/>
      <c r="N163" s="5"/>
      <c r="O163" s="36"/>
      <c r="P163" s="1"/>
      <c r="Q163" s="1"/>
      <c r="R163" s="5"/>
      <c r="S163" s="1"/>
      <c r="T163" s="1"/>
      <c r="U163" s="1"/>
      <c r="V163" s="5"/>
      <c r="W163" s="1"/>
      <c r="X163" s="1"/>
      <c r="Y163" s="1"/>
      <c r="Z163" s="5"/>
    </row>
    <row r="164" spans="1:26" s="23" customFormat="1" collapsed="1" x14ac:dyDescent="0.25">
      <c r="A164" s="10"/>
      <c r="B164" s="26" t="s">
        <v>293</v>
      </c>
      <c r="C164" s="10"/>
      <c r="D164" s="4">
        <f>SUM(OSRRefD25x_0)</f>
        <v>183399.97999999995</v>
      </c>
      <c r="E164" s="4"/>
      <c r="F164" s="12">
        <f t="shared" ref="F164:F172" si="124">IF(D$12=0,0,D164/D$12)</f>
        <v>7.8055732445961812E-2</v>
      </c>
      <c r="G164" s="4"/>
      <c r="H164" s="4">
        <f>SUM(OSRRefH25x_0)</f>
        <v>186071.5</v>
      </c>
      <c r="I164" s="4"/>
      <c r="J164" s="12">
        <f t="shared" ref="J164:J172" si="125">IF(H$12=0,0,H164/H$12)</f>
        <v>7.800510275948111E-2</v>
      </c>
      <c r="K164" s="4"/>
      <c r="L164" s="4">
        <f t="shared" ref="L164:L172" si="126">+D164-H164</f>
        <v>-2671.5200000000477</v>
      </c>
      <c r="M164" s="4"/>
      <c r="N164" s="12">
        <f t="shared" ref="N164:N172" si="127">IF(H164=0,0,L164/H164)</f>
        <v>-1.4357491609408468E-2</v>
      </c>
      <c r="O164" s="10"/>
      <c r="P164" s="4">
        <f>SUM(OSRRefP25x_0)</f>
        <v>385545.33999999997</v>
      </c>
      <c r="Q164" s="4"/>
      <c r="R164" s="12">
        <f t="shared" ref="R164:R172" si="128">IF(P$12=0,0,P164/P$12)</f>
        <v>7.2168616948138711E-2</v>
      </c>
      <c r="S164" s="4"/>
      <c r="T164" s="4">
        <f>SUM(OSRRefT25x_0)</f>
        <v>271979.5</v>
      </c>
      <c r="U164" s="4"/>
      <c r="V164" s="12">
        <f t="shared" ref="V164:V172" si="129">IF(T$12=0,0,T164/T$12)</f>
        <v>4.0718255294857571E-2</v>
      </c>
      <c r="W164" s="4"/>
      <c r="X164" s="4">
        <f t="shared" ref="X164:X172" si="130">+P164-T164</f>
        <v>113565.83999999997</v>
      </c>
      <c r="Y164" s="4"/>
      <c r="Z164" s="12">
        <f t="shared" ref="Z164:Z172" si="131">IF(T164=0,0,X164/T164)</f>
        <v>0.41755294057088849</v>
      </c>
    </row>
    <row r="165" spans="1:26" s="24" customFormat="1" hidden="1" outlineLevel="1" x14ac:dyDescent="0.25">
      <c r="A165" s="44"/>
      <c r="B165" s="11" t="str">
        <f>CONCATENATE("          ", "4187", " - ", "NON-TAXABLE SALES-COMPUTER REP")</f>
        <v xml:space="preserve">          4187 - NON-TAXABLE SALES-COMPUTER REP</v>
      </c>
      <c r="C165" s="11"/>
      <c r="D165" s="2">
        <f>0</f>
        <v>0</v>
      </c>
      <c r="E165" s="2"/>
      <c r="F165" s="19">
        <f t="shared" si="124"/>
        <v>0</v>
      </c>
      <c r="G165" s="2"/>
      <c r="H165" s="2"/>
      <c r="I165" s="2"/>
      <c r="J165" s="19">
        <f t="shared" si="125"/>
        <v>0</v>
      </c>
      <c r="K165" s="2"/>
      <c r="L165" s="2">
        <f t="shared" si="126"/>
        <v>0</v>
      </c>
      <c r="M165" s="2"/>
      <c r="N165" s="19">
        <f t="shared" si="127"/>
        <v>0</v>
      </c>
      <c r="O165" s="11"/>
      <c r="P165" s="2">
        <f>0</f>
        <v>0</v>
      </c>
      <c r="Q165" s="2"/>
      <c r="R165" s="19">
        <f t="shared" si="128"/>
        <v>0</v>
      </c>
      <c r="S165" s="2"/>
      <c r="T165" s="2"/>
      <c r="U165" s="2"/>
      <c r="V165" s="19">
        <f t="shared" si="129"/>
        <v>0</v>
      </c>
      <c r="W165" s="2"/>
      <c r="X165" s="2">
        <f t="shared" si="130"/>
        <v>0</v>
      </c>
      <c r="Y165" s="2"/>
      <c r="Z165" s="19">
        <f t="shared" si="131"/>
        <v>0</v>
      </c>
    </row>
    <row r="166" spans="1:26" s="24" customFormat="1" hidden="1" outlineLevel="1" x14ac:dyDescent="0.25">
      <c r="A166" s="44"/>
      <c r="B166" s="11" t="str">
        <f>CONCATENATE("          ", "9087", " - ", "")</f>
        <v xml:space="preserve">          9087 - </v>
      </c>
      <c r="C166" s="11"/>
      <c r="D166" s="2">
        <f>-656.36</f>
        <v>-656.36</v>
      </c>
      <c r="E166" s="2"/>
      <c r="F166" s="19">
        <f t="shared" si="124"/>
        <v>-2.793493246195093E-4</v>
      </c>
      <c r="G166" s="2"/>
      <c r="H166" s="2"/>
      <c r="I166" s="2"/>
      <c r="J166" s="19">
        <f t="shared" si="125"/>
        <v>0</v>
      </c>
      <c r="K166" s="2"/>
      <c r="L166" s="2">
        <f t="shared" si="126"/>
        <v>-656.36</v>
      </c>
      <c r="M166" s="2"/>
      <c r="N166" s="19">
        <f t="shared" si="127"/>
        <v>0</v>
      </c>
      <c r="O166" s="11"/>
      <c r="P166" s="2">
        <f>--363.65</f>
        <v>363.65</v>
      </c>
      <c r="Q166" s="2"/>
      <c r="R166" s="19">
        <f t="shared" si="128"/>
        <v>6.8070119984307528E-5</v>
      </c>
      <c r="S166" s="2"/>
      <c r="T166" s="2"/>
      <c r="U166" s="2"/>
      <c r="V166" s="19">
        <f t="shared" si="129"/>
        <v>0</v>
      </c>
      <c r="W166" s="2"/>
      <c r="X166" s="2">
        <f t="shared" si="130"/>
        <v>363.65</v>
      </c>
      <c r="Y166" s="2"/>
      <c r="Z166" s="19">
        <f t="shared" si="131"/>
        <v>0</v>
      </c>
    </row>
    <row r="167" spans="1:26" s="24" customFormat="1" hidden="1" outlineLevel="1" x14ac:dyDescent="0.25">
      <c r="A167" s="44"/>
      <c r="B167" s="11" t="str">
        <f>CONCATENATE("          ", "9150", " - ", "MISC. INCOME")</f>
        <v xml:space="preserve">          9150 - MISC. INCOME</v>
      </c>
      <c r="C167" s="11"/>
      <c r="D167" s="2">
        <f>--38266.59</f>
        <v>38266.589999999997</v>
      </c>
      <c r="E167" s="2"/>
      <c r="F167" s="19">
        <f t="shared" si="124"/>
        <v>1.6286406959582649E-2</v>
      </c>
      <c r="G167" s="2"/>
      <c r="H167" s="2">
        <v>24091</v>
      </c>
      <c r="I167" s="2"/>
      <c r="J167" s="19">
        <f t="shared" si="125"/>
        <v>1.0099456018673786E-2</v>
      </c>
      <c r="K167" s="2"/>
      <c r="L167" s="2">
        <f t="shared" si="126"/>
        <v>14175.589999999997</v>
      </c>
      <c r="M167" s="2"/>
      <c r="N167" s="19">
        <f t="shared" si="127"/>
        <v>0.58841849653397515</v>
      </c>
      <c r="O167" s="11"/>
      <c r="P167" s="2">
        <f>--151768.98</f>
        <v>151768.98000000001</v>
      </c>
      <c r="Q167" s="2"/>
      <c r="R167" s="19">
        <f t="shared" si="128"/>
        <v>2.8408999528381607E-2</v>
      </c>
      <c r="S167" s="2"/>
      <c r="T167" s="2">
        <v>66999</v>
      </c>
      <c r="U167" s="2"/>
      <c r="V167" s="19">
        <f t="shared" si="129"/>
        <v>1.0030470629220814E-2</v>
      </c>
      <c r="W167" s="2"/>
      <c r="X167" s="2">
        <f t="shared" si="130"/>
        <v>84769.98000000001</v>
      </c>
      <c r="Y167" s="2"/>
      <c r="Z167" s="19">
        <f t="shared" si="131"/>
        <v>1.2652424663054673</v>
      </c>
    </row>
    <row r="168" spans="1:26" s="24" customFormat="1" hidden="1" outlineLevel="1" x14ac:dyDescent="0.25">
      <c r="A168" s="44"/>
      <c r="B168" s="11" t="str">
        <f>CONCATENATE("          ", "9151", " - ", "MISC. INCOME")</f>
        <v xml:space="preserve">          9151 - MISC. INCOME</v>
      </c>
      <c r="C168" s="11"/>
      <c r="D168" s="2">
        <f>--156907</f>
        <v>156907</v>
      </c>
      <c r="E168" s="2"/>
      <c r="F168" s="19">
        <f t="shared" si="124"/>
        <v>6.678021890132449E-2</v>
      </c>
      <c r="G168" s="2"/>
      <c r="H168" s="2">
        <v>161980.5</v>
      </c>
      <c r="I168" s="2"/>
      <c r="J168" s="19">
        <f t="shared" si="125"/>
        <v>6.7905646740807318E-2</v>
      </c>
      <c r="K168" s="2"/>
      <c r="L168" s="2">
        <f t="shared" si="126"/>
        <v>-5073.5</v>
      </c>
      <c r="M168" s="2"/>
      <c r="N168" s="19">
        <f t="shared" si="127"/>
        <v>-3.1321671435759244E-2</v>
      </c>
      <c r="O168" s="11"/>
      <c r="P168" s="2">
        <f>--168463.36</f>
        <v>168463.35999999999</v>
      </c>
      <c r="Q168" s="2"/>
      <c r="R168" s="19">
        <f t="shared" si="128"/>
        <v>3.1533950579292161E-2</v>
      </c>
      <c r="S168" s="2"/>
      <c r="T168" s="2">
        <v>204980.5</v>
      </c>
      <c r="U168" s="2"/>
      <c r="V168" s="19">
        <f t="shared" si="129"/>
        <v>3.0687784665636757E-2</v>
      </c>
      <c r="W168" s="2"/>
      <c r="X168" s="2">
        <f t="shared" si="130"/>
        <v>-36517.140000000014</v>
      </c>
      <c r="Y168" s="2"/>
      <c r="Z168" s="19">
        <f t="shared" si="131"/>
        <v>-0.17814933615636616</v>
      </c>
    </row>
    <row r="169" spans="1:26" s="24" customFormat="1" hidden="1" outlineLevel="1" x14ac:dyDescent="0.25">
      <c r="A169" s="44"/>
      <c r="B169" s="11" t="str">
        <f>CONCATENATE("          ", "9152", " - ", "MISC. INCOME")</f>
        <v xml:space="preserve">          9152 - MISC. INCOME</v>
      </c>
      <c r="C169" s="11"/>
      <c r="D169" s="2">
        <f>--935.08</f>
        <v>935.08</v>
      </c>
      <c r="E169" s="2"/>
      <c r="F169" s="19">
        <f t="shared" si="124"/>
        <v>3.9797362189227062E-4</v>
      </c>
      <c r="G169" s="2"/>
      <c r="H169" s="2"/>
      <c r="I169" s="2"/>
      <c r="J169" s="19">
        <f t="shared" si="125"/>
        <v>0</v>
      </c>
      <c r="K169" s="2"/>
      <c r="L169" s="2">
        <f t="shared" si="126"/>
        <v>935.08</v>
      </c>
      <c r="M169" s="2"/>
      <c r="N169" s="19">
        <f t="shared" si="127"/>
        <v>0</v>
      </c>
      <c r="O169" s="11"/>
      <c r="P169" s="2">
        <f>--1938.11</f>
        <v>1938.11</v>
      </c>
      <c r="Q169" s="2"/>
      <c r="R169" s="19">
        <f t="shared" si="128"/>
        <v>3.627866911667435E-4</v>
      </c>
      <c r="S169" s="2"/>
      <c r="T169" s="2"/>
      <c r="U169" s="2"/>
      <c r="V169" s="19">
        <f t="shared" si="129"/>
        <v>0</v>
      </c>
      <c r="W169" s="2"/>
      <c r="X169" s="2">
        <f t="shared" si="130"/>
        <v>1938.11</v>
      </c>
      <c r="Y169" s="2"/>
      <c r="Z169" s="19">
        <f t="shared" si="131"/>
        <v>0</v>
      </c>
    </row>
    <row r="170" spans="1:26" s="24" customFormat="1" hidden="1" outlineLevel="1" x14ac:dyDescent="0.25">
      <c r="A170" s="44"/>
      <c r="B170" s="11" t="str">
        <f>CONCATENATE("          ", "9160", " - ", "MISC. INCOME")</f>
        <v xml:space="preserve">          9160 - MISC. INCOME</v>
      </c>
      <c r="C170" s="11"/>
      <c r="D170" s="2">
        <f>-11238.12</f>
        <v>-11238.12</v>
      </c>
      <c r="E170" s="2"/>
      <c r="F170" s="19">
        <f t="shared" si="124"/>
        <v>-4.7829868242930708E-3</v>
      </c>
      <c r="G170" s="2"/>
      <c r="H170" s="2">
        <v>0</v>
      </c>
      <c r="I170" s="2"/>
      <c r="J170" s="19">
        <f t="shared" si="125"/>
        <v>0</v>
      </c>
      <c r="K170" s="2"/>
      <c r="L170" s="2">
        <f t="shared" si="126"/>
        <v>-11238.12</v>
      </c>
      <c r="M170" s="2"/>
      <c r="N170" s="19">
        <f t="shared" si="127"/>
        <v>0</v>
      </c>
      <c r="O170" s="11"/>
      <c r="P170" s="2">
        <f>0</f>
        <v>0</v>
      </c>
      <c r="Q170" s="2"/>
      <c r="R170" s="19">
        <f t="shared" si="128"/>
        <v>0</v>
      </c>
      <c r="S170" s="2"/>
      <c r="T170" s="2">
        <v>0</v>
      </c>
      <c r="U170" s="2"/>
      <c r="V170" s="19">
        <f t="shared" si="129"/>
        <v>0</v>
      </c>
      <c r="W170" s="2"/>
      <c r="X170" s="2">
        <f t="shared" si="130"/>
        <v>0</v>
      </c>
      <c r="Y170" s="2"/>
      <c r="Z170" s="19">
        <f t="shared" si="131"/>
        <v>0</v>
      </c>
    </row>
    <row r="171" spans="1:26" s="24" customFormat="1" hidden="1" outlineLevel="1" x14ac:dyDescent="0.25">
      <c r="A171" s="44"/>
      <c r="B171" s="11" t="str">
        <f>CONCATENATE("          ", "9163", " - ", "MISC. INCOME")</f>
        <v xml:space="preserve">          9163 - MISC. INCOME</v>
      </c>
      <c r="C171" s="11"/>
      <c r="D171" s="2">
        <f>-308.7</f>
        <v>-308.7</v>
      </c>
      <c r="E171" s="2"/>
      <c r="F171" s="19">
        <f t="shared" si="124"/>
        <v>-1.3138389985685068E-4</v>
      </c>
      <c r="G171" s="2"/>
      <c r="H171" s="2"/>
      <c r="I171" s="2"/>
      <c r="J171" s="19">
        <f t="shared" si="125"/>
        <v>0</v>
      </c>
      <c r="K171" s="2"/>
      <c r="L171" s="2">
        <f t="shared" si="126"/>
        <v>-308.7</v>
      </c>
      <c r="M171" s="2"/>
      <c r="N171" s="19">
        <f t="shared" si="127"/>
        <v>0</v>
      </c>
      <c r="O171" s="11"/>
      <c r="P171" s="2">
        <f>--63011.24</f>
        <v>63011.24</v>
      </c>
      <c r="Q171" s="2"/>
      <c r="R171" s="19">
        <f t="shared" si="128"/>
        <v>1.1794810029313896E-2</v>
      </c>
      <c r="S171" s="2"/>
      <c r="T171" s="2"/>
      <c r="U171" s="2"/>
      <c r="V171" s="19">
        <f t="shared" si="129"/>
        <v>0</v>
      </c>
      <c r="W171" s="2"/>
      <c r="X171" s="2">
        <f t="shared" si="130"/>
        <v>63011.24</v>
      </c>
      <c r="Y171" s="2"/>
      <c r="Z171" s="19">
        <f t="shared" si="131"/>
        <v>0</v>
      </c>
    </row>
    <row r="172" spans="1:26" s="24" customFormat="1" hidden="1" outlineLevel="1" x14ac:dyDescent="0.25">
      <c r="A172" s="44"/>
      <c r="B172" s="11" t="str">
        <f>CONCATENATE("          ", "9165", " - ", "OTHER INCOME")</f>
        <v xml:space="preserve">          9165 - OTHER INCOME</v>
      </c>
      <c r="C172" s="11"/>
      <c r="D172" s="2">
        <f>-505.51</f>
        <v>-505.51</v>
      </c>
      <c r="E172" s="2"/>
      <c r="F172" s="19">
        <f t="shared" si="124"/>
        <v>-2.1514698806814574E-4</v>
      </c>
      <c r="G172" s="2"/>
      <c r="H172" s="2"/>
      <c r="I172" s="2"/>
      <c r="J172" s="19">
        <f t="shared" si="125"/>
        <v>0</v>
      </c>
      <c r="K172" s="2"/>
      <c r="L172" s="2">
        <f t="shared" si="126"/>
        <v>-505.51</v>
      </c>
      <c r="M172" s="2"/>
      <c r="N172" s="19">
        <f t="shared" si="127"/>
        <v>0</v>
      </c>
      <c r="O172" s="11"/>
      <c r="P172" s="2">
        <f>0</f>
        <v>0</v>
      </c>
      <c r="Q172" s="2"/>
      <c r="R172" s="19">
        <f t="shared" si="128"/>
        <v>0</v>
      </c>
      <c r="S172" s="2"/>
      <c r="T172" s="2"/>
      <c r="U172" s="2"/>
      <c r="V172" s="19">
        <f t="shared" si="129"/>
        <v>0</v>
      </c>
      <c r="W172" s="2"/>
      <c r="X172" s="2">
        <f t="shared" si="130"/>
        <v>0</v>
      </c>
      <c r="Y172" s="2"/>
      <c r="Z172" s="19">
        <f t="shared" si="131"/>
        <v>0</v>
      </c>
    </row>
    <row r="173" spans="1:26" x14ac:dyDescent="0.25">
      <c r="A173" s="9"/>
      <c r="B173" s="10"/>
      <c r="C173" s="10"/>
      <c r="D173" s="3"/>
      <c r="E173" s="3"/>
      <c r="F173" s="8"/>
      <c r="G173" s="3"/>
      <c r="H173" s="3"/>
      <c r="I173" s="3"/>
      <c r="J173" s="8"/>
      <c r="K173" s="3"/>
      <c r="L173" s="3"/>
      <c r="M173" s="3"/>
      <c r="N173" s="8"/>
      <c r="O173" s="10"/>
      <c r="P173" s="3"/>
      <c r="Q173" s="3"/>
      <c r="R173" s="8"/>
      <c r="S173" s="3"/>
      <c r="T173" s="3"/>
      <c r="U173" s="3"/>
      <c r="V173" s="8"/>
      <c r="W173" s="3"/>
      <c r="X173" s="3"/>
      <c r="Y173" s="3"/>
      <c r="Z173" s="8"/>
    </row>
    <row r="174" spans="1:26" s="23" customFormat="1" x14ac:dyDescent="0.25">
      <c r="A174" s="10"/>
      <c r="B174" s="25" t="s">
        <v>277</v>
      </c>
      <c r="C174" s="25"/>
      <c r="D174" s="21">
        <f>+D61-D63+D164</f>
        <v>599789.19999999984</v>
      </c>
      <c r="E174" s="13"/>
      <c r="F174" s="20">
        <f>IF(D$12=0,0,D174/D$12)</f>
        <v>0.25527257592491276</v>
      </c>
      <c r="G174" s="13"/>
      <c r="H174" s="21">
        <f>+H61-H63+H164</f>
        <v>349838.3698336042</v>
      </c>
      <c r="I174" s="13"/>
      <c r="J174" s="20">
        <f>IF(H$12=0,0,H174/H$12)</f>
        <v>0.14665963346390851</v>
      </c>
      <c r="K174" s="16"/>
      <c r="L174" s="21">
        <f>+D174-H174</f>
        <v>249950.83016639564</v>
      </c>
      <c r="M174" s="16"/>
      <c r="N174" s="20">
        <f>IF(H174=0,0,L174/H174)</f>
        <v>0.71447517402188132</v>
      </c>
      <c r="O174" s="26"/>
      <c r="P174" s="21">
        <f>+P61-P63+P164</f>
        <v>285973.89000000071</v>
      </c>
      <c r="Q174" s="13"/>
      <c r="R174" s="20">
        <f>IF(P$12=0,0,P174/P$12)</f>
        <v>5.3530254378328652E-2</v>
      </c>
      <c r="S174" s="13"/>
      <c r="T174" s="21">
        <f>+T61-T63+T164</f>
        <v>-223119.12143261451</v>
      </c>
      <c r="U174" s="13"/>
      <c r="V174" s="20">
        <f>IF(T$12=0,0,T174/T$12)</f>
        <v>-3.3403331308637325E-2</v>
      </c>
      <c r="W174" s="16"/>
      <c r="X174" s="21">
        <f>+P174-T174</f>
        <v>509093.01143261523</v>
      </c>
      <c r="Y174" s="16"/>
      <c r="Z174" s="20">
        <f>IF(T174=0,0,X174/T174)</f>
        <v>-2.2817094660637114</v>
      </c>
    </row>
    <row r="175" spans="1:26" x14ac:dyDescent="0.25">
      <c r="A175" s="9"/>
      <c r="B175" s="10"/>
      <c r="C175" s="9"/>
      <c r="D175" s="3"/>
      <c r="E175" s="3"/>
      <c r="F175" s="8"/>
      <c r="G175" s="3"/>
      <c r="H175" s="3"/>
      <c r="I175" s="3"/>
      <c r="J175" s="8"/>
      <c r="K175" s="3"/>
      <c r="L175" s="3"/>
      <c r="M175" s="3"/>
      <c r="N175" s="8"/>
      <c r="P175" s="3"/>
      <c r="Q175" s="3"/>
      <c r="R175" s="8"/>
      <c r="S175" s="3"/>
      <c r="T175" s="3"/>
      <c r="U175" s="3"/>
      <c r="V175" s="8"/>
      <c r="W175" s="3"/>
      <c r="X175" s="3"/>
      <c r="Y175" s="3"/>
      <c r="Z175" s="8"/>
    </row>
    <row r="176" spans="1:26" s="23" customFormat="1" x14ac:dyDescent="0.25">
      <c r="A176" s="52"/>
      <c r="B176" s="10" t="s">
        <v>128</v>
      </c>
      <c r="C176" s="10"/>
      <c r="D176" s="4">
        <v>214039.09</v>
      </c>
      <c r="E176" s="4"/>
      <c r="F176" s="12">
        <f>IF(D$12=0,0,D176/D$12)</f>
        <v>9.1095854765181242E-2</v>
      </c>
      <c r="G176" s="4"/>
      <c r="H176" s="4">
        <v>244374</v>
      </c>
      <c r="I176" s="4"/>
      <c r="J176" s="12">
        <f>IF(H$12=0,0,H176/H$12)</f>
        <v>0.10244674214882685</v>
      </c>
      <c r="K176" s="4"/>
      <c r="L176" s="4">
        <f>+D176-H176</f>
        <v>-30334.910000000003</v>
      </c>
      <c r="M176" s="4"/>
      <c r="N176" s="12">
        <f>IF(H176=0,0,L176/H176)</f>
        <v>-0.12413313200258622</v>
      </c>
      <c r="O176" s="10"/>
      <c r="P176" s="4">
        <v>661244.69999999995</v>
      </c>
      <c r="Q176" s="4"/>
      <c r="R176" s="12">
        <f>IF(P$12=0,0,P176/P$12)</f>
        <v>0.12377562510102416</v>
      </c>
      <c r="S176" s="4"/>
      <c r="T176" s="4">
        <v>725295</v>
      </c>
      <c r="U176" s="4"/>
      <c r="V176" s="12">
        <f>IF(T$12=0,0,T176/T$12)</f>
        <v>0.10858445939522546</v>
      </c>
      <c r="W176" s="4"/>
      <c r="X176" s="4">
        <f>+P176-T176</f>
        <v>-64050.300000000047</v>
      </c>
      <c r="Y176" s="4"/>
      <c r="Z176" s="12">
        <f>IF(T176=0,0,X176/T176)</f>
        <v>-8.8309308626145291E-2</v>
      </c>
    </row>
    <row r="177" spans="1:26" x14ac:dyDescent="0.25">
      <c r="A177" s="9"/>
      <c r="B177" s="10"/>
      <c r="C177" s="10"/>
      <c r="D177" s="3"/>
      <c r="E177" s="3"/>
      <c r="F177" s="8"/>
      <c r="G177" s="3"/>
      <c r="H177" s="3"/>
      <c r="I177" s="3"/>
      <c r="J177" s="8"/>
      <c r="K177" s="3"/>
      <c r="L177" s="3"/>
      <c r="M177" s="3"/>
      <c r="N177" s="8"/>
      <c r="O177" s="10"/>
      <c r="P177" s="3"/>
      <c r="Q177" s="3"/>
      <c r="R177" s="8"/>
      <c r="S177" s="3"/>
      <c r="T177" s="3"/>
      <c r="U177" s="3"/>
      <c r="V177" s="8"/>
      <c r="W177" s="3"/>
      <c r="X177" s="3"/>
      <c r="Y177" s="3"/>
      <c r="Z177" s="8"/>
    </row>
    <row r="178" spans="1:26" s="23" customFormat="1" ht="15.75" thickBot="1" x14ac:dyDescent="0.3">
      <c r="A178" s="10"/>
      <c r="B178" s="25" t="s">
        <v>126</v>
      </c>
      <c r="C178" s="25"/>
      <c r="D178" s="33">
        <f>+D174-D176</f>
        <v>385750.10999999987</v>
      </c>
      <c r="E178" s="13"/>
      <c r="F178" s="31">
        <f>IF(D$12=0,0,D178/D$12)</f>
        <v>0.1641767211597315</v>
      </c>
      <c r="G178" s="13"/>
      <c r="H178" s="33">
        <f>+H174-H176</f>
        <v>105464.3698336042</v>
      </c>
      <c r="I178" s="13"/>
      <c r="J178" s="31">
        <f>IF(H$12=0,0,H178/H$12)</f>
        <v>4.4212891315081645E-2</v>
      </c>
      <c r="K178" s="16"/>
      <c r="L178" s="33">
        <f>D178-H178</f>
        <v>280285.74016639567</v>
      </c>
      <c r="M178" s="16"/>
      <c r="N178" s="31">
        <f>IF(H178=0,0,L178/H178)</f>
        <v>2.6576344277087598</v>
      </c>
      <c r="O178" s="26"/>
      <c r="P178" s="33">
        <f>+P174-P176</f>
        <v>-375270.80999999924</v>
      </c>
      <c r="Q178" s="13"/>
      <c r="R178" s="31">
        <f>IF(P$12=0,0,P178/P$12)</f>
        <v>-7.0245370722695516E-2</v>
      </c>
      <c r="S178" s="13"/>
      <c r="T178" s="33">
        <f>+T174-T176</f>
        <v>-948414.12143261451</v>
      </c>
      <c r="U178" s="13"/>
      <c r="V178" s="31">
        <f>IF(T$12=0,0,T178/T$12)</f>
        <v>-0.14198779070386278</v>
      </c>
      <c r="W178" s="16"/>
      <c r="X178" s="33">
        <f>P178-T178</f>
        <v>573143.31143261527</v>
      </c>
      <c r="Y178" s="16"/>
      <c r="Z178" s="31">
        <f>IF(T178=0,0,X178/T178)</f>
        <v>-0.60431756390010427</v>
      </c>
    </row>
    <row r="179" spans="1:26" ht="15.75" thickTop="1" x14ac:dyDescent="0.25">
      <c r="A179" s="9"/>
      <c r="B179" s="9"/>
      <c r="C179" s="9"/>
      <c r="D179" s="3"/>
      <c r="E179" s="3"/>
      <c r="F179" s="8"/>
      <c r="G179" s="3"/>
      <c r="H179" s="3"/>
      <c r="I179" s="3"/>
      <c r="J179" s="8"/>
      <c r="K179" s="3"/>
      <c r="L179" s="3"/>
      <c r="M179" s="3"/>
      <c r="N179" s="8"/>
      <c r="P179" s="3"/>
      <c r="Q179" s="3"/>
      <c r="R179" s="8"/>
      <c r="S179" s="3"/>
      <c r="T179" s="3"/>
      <c r="U179" s="3"/>
      <c r="V179" s="8"/>
      <c r="W179" s="3"/>
      <c r="X179" s="3"/>
      <c r="Y179" s="3"/>
      <c r="Z179" s="8"/>
    </row>
    <row r="180" spans="1:26" s="23" customFormat="1" x14ac:dyDescent="0.25">
      <c r="A180" s="52"/>
      <c r="B180" s="10" t="s">
        <v>184</v>
      </c>
      <c r="C180" s="10"/>
      <c r="D180" s="4">
        <f>-372468.37</f>
        <v>-372468.37</v>
      </c>
      <c r="E180" s="4"/>
      <c r="F180" s="12">
        <f t="shared" ref="F180:F181" si="132">IF(D$12=0,0,D180/D$12)</f>
        <v>-0.15852396185268677</v>
      </c>
      <c r="G180" s="4"/>
      <c r="H180" s="4">
        <f>--15000</f>
        <v>15000</v>
      </c>
      <c r="I180" s="4"/>
      <c r="J180" s="12">
        <f t="shared" ref="J180:J181" si="133">IF(H$12=0,0,H180/H$12)</f>
        <v>6.2883168104315634E-3</v>
      </c>
      <c r="K180" s="4"/>
      <c r="L180" s="4">
        <f t="shared" ref="L180:L181" si="134">+D180-H180</f>
        <v>-387468.37</v>
      </c>
      <c r="M180" s="4"/>
      <c r="N180" s="12">
        <f t="shared" ref="N180:N181" si="135">IF(H180=0,0,L180/H180)</f>
        <v>-25.831224666666667</v>
      </c>
      <c r="O180" s="10"/>
      <c r="P180" s="4">
        <f>-219609.57</f>
        <v>-219609.57</v>
      </c>
      <c r="Q180" s="4"/>
      <c r="R180" s="12">
        <f t="shared" ref="R180:R181" si="136">IF(P$12=0,0,P180/P$12)</f>
        <v>-4.1107795351580323E-2</v>
      </c>
      <c r="S180" s="4"/>
      <c r="T180" s="4">
        <f>--45000</f>
        <v>45000</v>
      </c>
      <c r="U180" s="4"/>
      <c r="V180" s="12">
        <f t="shared" ref="V180:V181" si="137">IF(T$12=0,0,T180/T$12)</f>
        <v>6.7369838104290609E-3</v>
      </c>
      <c r="W180" s="4"/>
      <c r="X180" s="4">
        <f t="shared" ref="X180:X181" si="138">+P180-T180</f>
        <v>-264609.57</v>
      </c>
      <c r="Y180" s="4"/>
      <c r="Z180" s="12">
        <f t="shared" ref="Z180:Z181" si="139">IF(T180=0,0,X180/T180)</f>
        <v>-5.880212666666667</v>
      </c>
    </row>
    <row r="181" spans="1:26" s="23" customFormat="1" x14ac:dyDescent="0.25">
      <c r="A181" s="52"/>
      <c r="B181" s="10" t="s">
        <v>82</v>
      </c>
      <c r="C181" s="10"/>
      <c r="D181" s="4">
        <f>--15112.29</f>
        <v>15112.29</v>
      </c>
      <c r="E181" s="4"/>
      <c r="F181" s="12">
        <f t="shared" si="132"/>
        <v>6.4318483834392166E-3</v>
      </c>
      <c r="G181" s="4"/>
      <c r="H181" s="4">
        <f>--20000</f>
        <v>20000</v>
      </c>
      <c r="I181" s="4"/>
      <c r="J181" s="12">
        <f t="shared" si="133"/>
        <v>8.38442241390875E-3</v>
      </c>
      <c r="K181" s="4"/>
      <c r="L181" s="4">
        <f t="shared" si="134"/>
        <v>-4887.7099999999991</v>
      </c>
      <c r="M181" s="4"/>
      <c r="N181" s="12">
        <f t="shared" si="135"/>
        <v>-0.24438549999999995</v>
      </c>
      <c r="O181" s="10"/>
      <c r="P181" s="4">
        <f>--37328.78</f>
        <v>37328.78</v>
      </c>
      <c r="Q181" s="4"/>
      <c r="R181" s="12">
        <f t="shared" si="136"/>
        <v>6.9874179388637958E-3</v>
      </c>
      <c r="S181" s="4"/>
      <c r="T181" s="4">
        <f>--50000</f>
        <v>50000</v>
      </c>
      <c r="U181" s="4"/>
      <c r="V181" s="12">
        <f t="shared" si="137"/>
        <v>7.4855375671434004E-3</v>
      </c>
      <c r="W181" s="4"/>
      <c r="X181" s="4">
        <f t="shared" si="138"/>
        <v>-12671.220000000001</v>
      </c>
      <c r="Y181" s="4"/>
      <c r="Z181" s="12">
        <f t="shared" si="139"/>
        <v>-0.25342440000000005</v>
      </c>
    </row>
    <row r="182" spans="1:26" x14ac:dyDescent="0.25">
      <c r="A182" s="9"/>
      <c r="B182" s="9"/>
      <c r="C182" s="9"/>
      <c r="D182" s="3"/>
      <c r="E182" s="3"/>
      <c r="F182" s="8"/>
      <c r="G182" s="3"/>
      <c r="H182" s="3"/>
      <c r="I182" s="3"/>
      <c r="J182" s="8"/>
      <c r="K182" s="3"/>
      <c r="L182" s="3"/>
      <c r="M182" s="3"/>
      <c r="N182" s="8"/>
      <c r="P182" s="3"/>
      <c r="Q182" s="3"/>
      <c r="R182" s="8"/>
      <c r="S182" s="3"/>
      <c r="T182" s="3"/>
      <c r="U182" s="3"/>
      <c r="V182" s="8"/>
      <c r="W182" s="3"/>
      <c r="X182" s="3"/>
      <c r="Y182" s="3"/>
      <c r="Z182" s="8"/>
    </row>
    <row r="183" spans="1:26" s="23" customFormat="1" ht="15.75" thickBot="1" x14ac:dyDescent="0.3">
      <c r="A183" s="10"/>
      <c r="B183" s="25" t="s">
        <v>294</v>
      </c>
      <c r="C183" s="25"/>
      <c r="D183" s="35">
        <f>SUM(D178:D182)</f>
        <v>28394.029999999875</v>
      </c>
      <c r="E183" s="13"/>
      <c r="F183" s="34">
        <f>IF(D$12=0,0,D183/D$12)</f>
        <v>1.2084607690483957E-2</v>
      </c>
      <c r="G183" s="13"/>
      <c r="H183" s="35">
        <f>SUM(H178:H182)</f>
        <v>140464.3698336042</v>
      </c>
      <c r="I183" s="13"/>
      <c r="J183" s="34">
        <f>IF(H$12=0,0,H183/H$12)</f>
        <v>5.888563053942196E-2</v>
      </c>
      <c r="K183" s="16"/>
      <c r="L183" s="35">
        <f>+D183-H183</f>
        <v>-112070.33983360432</v>
      </c>
      <c r="M183" s="16"/>
      <c r="N183" s="34">
        <f>IF(H183=0,0,L183/H183)</f>
        <v>-0.79785599697890797</v>
      </c>
      <c r="O183" s="26"/>
      <c r="P183" s="35">
        <f>SUM(P178:P182)</f>
        <v>-557551.59999999916</v>
      </c>
      <c r="Q183" s="13"/>
      <c r="R183" s="34">
        <f>IF(P$12=0,0,P183/P$12)</f>
        <v>-0.10436574813541202</v>
      </c>
      <c r="S183" s="13"/>
      <c r="T183" s="35">
        <f>SUM(T178:T182)</f>
        <v>-853414.12143261451</v>
      </c>
      <c r="U183" s="13"/>
      <c r="V183" s="34">
        <f>IF(T$12=0,0,T183/T$12)</f>
        <v>-0.12776526932629031</v>
      </c>
      <c r="W183" s="16"/>
      <c r="X183" s="35">
        <f>+P183-T183</f>
        <v>295862.52143261535</v>
      </c>
      <c r="Y183" s="16"/>
      <c r="Z183" s="34">
        <f>IF(T183=0,0,X183/T183)</f>
        <v>-0.34668107077482502</v>
      </c>
    </row>
    <row r="184" spans="1:26" ht="15.75" thickTop="1" x14ac:dyDescent="0.25">
      <c r="A184" s="9"/>
      <c r="C184" s="9"/>
      <c r="D184" s="18"/>
      <c r="E184" s="18"/>
      <c r="G184" s="18"/>
      <c r="H184" s="18"/>
      <c r="I184" s="18"/>
      <c r="J184" s="43"/>
      <c r="K184" s="18"/>
      <c r="L184" s="18"/>
      <c r="M184" s="18"/>
      <c r="P184" s="18"/>
      <c r="Q184" s="18"/>
      <c r="R184" s="43"/>
      <c r="S184" s="18"/>
      <c r="T184" s="18"/>
      <c r="U184" s="18"/>
      <c r="V184" s="43"/>
      <c r="W184" s="18"/>
      <c r="X184" s="18"/>
    </row>
    <row r="185" spans="1:26" x14ac:dyDescent="0.25">
      <c r="A185" s="9"/>
      <c r="B185" s="61">
        <v>44481.978916122687</v>
      </c>
      <c r="D185" s="18"/>
      <c r="E185" s="18"/>
      <c r="G185" s="18"/>
      <c r="H185" s="18"/>
      <c r="I185" s="18"/>
      <c r="J185" s="43"/>
      <c r="K185" s="18"/>
      <c r="L185" s="18"/>
      <c r="M185" s="18"/>
      <c r="P185" s="18"/>
      <c r="Q185" s="18"/>
      <c r="R185" s="43"/>
      <c r="S185" s="18"/>
      <c r="T185" s="18"/>
      <c r="U185" s="18"/>
      <c r="V185" s="43"/>
      <c r="W185" s="18"/>
      <c r="X185" s="18"/>
    </row>
    <row r="186" spans="1:26" x14ac:dyDescent="0.25">
      <c r="A186" s="9"/>
      <c r="B186" s="56" t="s">
        <v>56</v>
      </c>
      <c r="D186" s="18"/>
      <c r="E186" s="18"/>
      <c r="G186" s="18"/>
      <c r="H186" s="18"/>
      <c r="I186" s="18"/>
      <c r="J186" s="43"/>
      <c r="K186" s="18"/>
      <c r="L186" s="18"/>
      <c r="M186" s="18"/>
      <c r="P186" s="18"/>
      <c r="Q186" s="18"/>
      <c r="R186" s="43"/>
      <c r="S186" s="18"/>
      <c r="T186" s="18"/>
      <c r="U186" s="18"/>
      <c r="V186" s="43"/>
      <c r="W186" s="18"/>
      <c r="X186" s="18"/>
    </row>
    <row r="187" spans="1:26" x14ac:dyDescent="0.25">
      <c r="A187" s="9"/>
      <c r="B187" s="54"/>
      <c r="D187" s="18"/>
      <c r="E187" s="18"/>
      <c r="G187" s="18"/>
      <c r="H187" s="18"/>
      <c r="I187" s="18"/>
      <c r="J187" s="43"/>
      <c r="K187" s="18"/>
      <c r="L187" s="18"/>
      <c r="M187" s="18"/>
      <c r="P187" s="18"/>
      <c r="Q187" s="18"/>
      <c r="R187" s="43"/>
      <c r="S187" s="18"/>
      <c r="T187" s="18"/>
      <c r="U187" s="18"/>
      <c r="V187" s="43"/>
      <c r="W187" s="18"/>
      <c r="X187" s="18"/>
    </row>
    <row r="188" spans="1:26" x14ac:dyDescent="0.25">
      <c r="D188" s="18"/>
      <c r="E188" s="18"/>
      <c r="G188" s="18"/>
      <c r="H188" s="18"/>
      <c r="I188" s="18"/>
      <c r="J188" s="43"/>
      <c r="K188" s="18"/>
      <c r="L188" s="18"/>
      <c r="M188" s="18"/>
      <c r="P188" s="18"/>
      <c r="Q188" s="18"/>
      <c r="R188" s="43"/>
      <c r="S188" s="18"/>
      <c r="T188" s="18"/>
      <c r="U188" s="18"/>
      <c r="V188" s="43"/>
      <c r="W188" s="18"/>
      <c r="X188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55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106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106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183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183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105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105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219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219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","100", " - ", "Corporate")</f>
        <v>Department 100 - Corporate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108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295</v>
      </c>
      <c r="C18" s="10"/>
      <c r="D18" s="22">
        <f>SUM(0)</f>
        <v>0</v>
      </c>
      <c r="E18" s="22"/>
      <c r="F18" s="32">
        <f>IF(D$12=0,0,D18/D$12)</f>
        <v>0</v>
      </c>
      <c r="G18" s="22"/>
      <c r="H18" s="22">
        <f>SUM(0)</f>
        <v>0</v>
      </c>
      <c r="I18" s="22"/>
      <c r="J18" s="32">
        <f>IF(H$12=0,0,H18/H$12)</f>
        <v>0</v>
      </c>
      <c r="K18" s="4"/>
      <c r="L18" s="22">
        <f>+D18-H18</f>
        <v>0</v>
      </c>
      <c r="M18" s="4"/>
      <c r="N18" s="32">
        <f>IF(H18=0,0,L18/H18)</f>
        <v>0</v>
      </c>
      <c r="O18" s="10"/>
      <c r="P18" s="22">
        <f>SUM(0)</f>
        <v>0</v>
      </c>
      <c r="Q18" s="22"/>
      <c r="R18" s="32">
        <f>IF(P$12=0,0,P18/P$12)</f>
        <v>0</v>
      </c>
      <c r="S18" s="22"/>
      <c r="T18" s="22">
        <f>SUM(0)</f>
        <v>0</v>
      </c>
      <c r="U18" s="22"/>
      <c r="V18" s="32">
        <f>IF(T$12=0,0,T18/T$12)</f>
        <v>0</v>
      </c>
      <c r="W18" s="4"/>
      <c r="X18" s="22">
        <f>+P18-T18</f>
        <v>0</v>
      </c>
      <c r="Y18" s="4"/>
      <c r="Z18" s="32">
        <f>IF(T18=0,0,X18/T18)</f>
        <v>0</v>
      </c>
    </row>
    <row r="19" spans="1:26" s="58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293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5" t="s">
        <v>277</v>
      </c>
      <c r="C22" s="25"/>
      <c r="D22" s="21">
        <f>+D16-D18+D20</f>
        <v>0</v>
      </c>
      <c r="E22" s="13"/>
      <c r="F22" s="20">
        <f>IF(D$12=0,0,D22/D$12)</f>
        <v>0</v>
      </c>
      <c r="G22" s="13"/>
      <c r="H22" s="21">
        <f>+H16-H18+H20</f>
        <v>0</v>
      </c>
      <c r="I22" s="13"/>
      <c r="J22" s="20">
        <f>IF(H$12=0,0,H22/H$12)</f>
        <v>0</v>
      </c>
      <c r="K22" s="16"/>
      <c r="L22" s="21">
        <f>+D22-H22</f>
        <v>0</v>
      </c>
      <c r="M22" s="16"/>
      <c r="N22" s="20">
        <f>IF(H22=0,0,L22/H22)</f>
        <v>0</v>
      </c>
      <c r="O22" s="26"/>
      <c r="P22" s="21">
        <f>+P16-P18+P20</f>
        <v>0</v>
      </c>
      <c r="Q22" s="13"/>
      <c r="R22" s="20">
        <f>IF(P$12=0,0,P22/P$12)</f>
        <v>0</v>
      </c>
      <c r="S22" s="13"/>
      <c r="T22" s="21">
        <f>+T16-T18+T20</f>
        <v>0</v>
      </c>
      <c r="U22" s="13"/>
      <c r="V22" s="20">
        <f>IF(T$12=0,0,T22/T$12)</f>
        <v>0</v>
      </c>
      <c r="W22" s="16"/>
      <c r="X22" s="21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128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5" t="s">
        <v>126</v>
      </c>
      <c r="C26" s="25"/>
      <c r="D26" s="33">
        <f>+D22-D24</f>
        <v>0</v>
      </c>
      <c r="E26" s="13"/>
      <c r="F26" s="31">
        <f>IF(D$12=0,0,D26/D$12)</f>
        <v>0</v>
      </c>
      <c r="G26" s="13"/>
      <c r="H26" s="33">
        <f>+H22-H24</f>
        <v>0</v>
      </c>
      <c r="I26" s="13"/>
      <c r="J26" s="31">
        <f>IF(H$12=0,0,H26/H$12)</f>
        <v>0</v>
      </c>
      <c r="K26" s="16"/>
      <c r="L26" s="33">
        <f>D26-H26</f>
        <v>0</v>
      </c>
      <c r="M26" s="16"/>
      <c r="N26" s="31">
        <f>IF(H26=0,0,L26/H26)</f>
        <v>0</v>
      </c>
      <c r="O26" s="26"/>
      <c r="P26" s="33">
        <f>+P22-P24</f>
        <v>0</v>
      </c>
      <c r="Q26" s="13"/>
      <c r="R26" s="31">
        <f>IF(P$12=0,0,P26/P$12)</f>
        <v>0</v>
      </c>
      <c r="S26" s="13"/>
      <c r="T26" s="33">
        <f>+T22-T24</f>
        <v>0</v>
      </c>
      <c r="U26" s="13"/>
      <c r="V26" s="31">
        <f>IF(T$12=0,0,T26/T$12)</f>
        <v>0</v>
      </c>
      <c r="W26" s="16"/>
      <c r="X26" s="33">
        <f>P26-T26</f>
        <v>0</v>
      </c>
      <c r="Y26" s="16"/>
      <c r="Z26" s="31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184</v>
      </c>
      <c r="C28" s="10"/>
      <c r="D28" s="4">
        <f>-372468.37</f>
        <v>-372468.37</v>
      </c>
      <c r="E28" s="4"/>
      <c r="F28" s="12">
        <f t="shared" ref="F28:F29" si="0">IF(D$12=0,0,D28/D$12)</f>
        <v>0</v>
      </c>
      <c r="G28" s="4"/>
      <c r="H28" s="4">
        <f>--15000</f>
        <v>15000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-387468.37</v>
      </c>
      <c r="M28" s="4"/>
      <c r="N28" s="12">
        <f t="shared" ref="N28:N29" si="3">IF(H28=0,0,L28/H28)</f>
        <v>-25.831224666666667</v>
      </c>
      <c r="O28" s="10"/>
      <c r="P28" s="4">
        <f>-219609.57</f>
        <v>-219609.57</v>
      </c>
      <c r="Q28" s="4"/>
      <c r="R28" s="12">
        <f t="shared" ref="R28:R29" si="4">IF(P$12=0,0,P28/P$12)</f>
        <v>0</v>
      </c>
      <c r="S28" s="4"/>
      <c r="T28" s="4">
        <f>--45000</f>
        <v>45000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-264609.57</v>
      </c>
      <c r="Y28" s="4"/>
      <c r="Z28" s="12">
        <f t="shared" ref="Z28:Z29" si="7">IF(T28=0,0,X28/T28)</f>
        <v>-5.880212666666667</v>
      </c>
    </row>
    <row r="29" spans="1:26" s="23" customFormat="1" x14ac:dyDescent="0.25">
      <c r="A29" s="52"/>
      <c r="B29" s="10" t="s">
        <v>82</v>
      </c>
      <c r="C29" s="10"/>
      <c r="D29" s="4">
        <f>--15112.29</f>
        <v>15112.29</v>
      </c>
      <c r="E29" s="4"/>
      <c r="F29" s="12">
        <f t="shared" si="0"/>
        <v>0</v>
      </c>
      <c r="G29" s="4"/>
      <c r="H29" s="4">
        <f>--20000</f>
        <v>20000</v>
      </c>
      <c r="I29" s="4"/>
      <c r="J29" s="12">
        <f t="shared" si="1"/>
        <v>0</v>
      </c>
      <c r="K29" s="4"/>
      <c r="L29" s="4">
        <f t="shared" si="2"/>
        <v>-4887.7099999999991</v>
      </c>
      <c r="M29" s="4"/>
      <c r="N29" s="12">
        <f t="shared" si="3"/>
        <v>-0.24438549999999995</v>
      </c>
      <c r="O29" s="10"/>
      <c r="P29" s="4">
        <f>--37328.78</f>
        <v>37328.78</v>
      </c>
      <c r="Q29" s="4"/>
      <c r="R29" s="12">
        <f t="shared" si="4"/>
        <v>0</v>
      </c>
      <c r="S29" s="4"/>
      <c r="T29" s="4">
        <f>--50000</f>
        <v>50000</v>
      </c>
      <c r="U29" s="4"/>
      <c r="V29" s="12">
        <f t="shared" si="5"/>
        <v>0</v>
      </c>
      <c r="W29" s="4"/>
      <c r="X29" s="4">
        <f t="shared" si="6"/>
        <v>-12671.220000000001</v>
      </c>
      <c r="Y29" s="4"/>
      <c r="Z29" s="12">
        <f t="shared" si="7"/>
        <v>-0.25342440000000005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294</v>
      </c>
      <c r="C31" s="25"/>
      <c r="D31" s="35">
        <f>SUM(D26:D30)</f>
        <v>-357356.08</v>
      </c>
      <c r="E31" s="13"/>
      <c r="F31" s="34">
        <f>IF(D$12=0,0,D31/D$12)</f>
        <v>0</v>
      </c>
      <c r="G31" s="13"/>
      <c r="H31" s="35">
        <f>SUM(H26:H30)</f>
        <v>35000</v>
      </c>
      <c r="I31" s="13"/>
      <c r="J31" s="34">
        <f>IF(H$12=0,0,H31/H$12)</f>
        <v>0</v>
      </c>
      <c r="K31" s="16"/>
      <c r="L31" s="35">
        <f>+D31-H31</f>
        <v>-392356.08</v>
      </c>
      <c r="M31" s="16"/>
      <c r="N31" s="34">
        <f>IF(H31=0,0,L31/H31)</f>
        <v>-11.210173714285714</v>
      </c>
      <c r="O31" s="26"/>
      <c r="P31" s="35">
        <f>SUM(P26:P30)</f>
        <v>-182280.79</v>
      </c>
      <c r="Q31" s="13"/>
      <c r="R31" s="34">
        <f>IF(P$12=0,0,P31/P$12)</f>
        <v>0</v>
      </c>
      <c r="S31" s="13"/>
      <c r="T31" s="35">
        <f>SUM(T26:T30)</f>
        <v>95000</v>
      </c>
      <c r="U31" s="13"/>
      <c r="V31" s="34">
        <f>IF(T$12=0,0,T31/T$12)</f>
        <v>0</v>
      </c>
      <c r="W31" s="16"/>
      <c r="X31" s="35">
        <f>+P31-T31</f>
        <v>-277280.79000000004</v>
      </c>
      <c r="Y31" s="16"/>
      <c r="Z31" s="34">
        <f>IF(T31=0,0,X31/T31)</f>
        <v>-2.9187451578947372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61">
        <v>44481.978956793981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6" t="s">
        <v>56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4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313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outlinePr summaryBelow="0" summaryRight="0"/>
  </sheetPr>
  <dimension ref="A2:Z10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139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108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295</v>
      </c>
      <c r="C18" s="10"/>
      <c r="D18" s="22">
        <f>SUM(OSRRefD22x_0)</f>
        <v>214039.08999999994</v>
      </c>
      <c r="E18" s="22"/>
      <c r="F18" s="32">
        <f t="shared" ref="F18:F30" si="0">IF(D$12=0,0,D18/D$12)</f>
        <v>0</v>
      </c>
      <c r="G18" s="22"/>
      <c r="H18" s="22">
        <f>SUM(OSRRefH22x_0)</f>
        <v>244376.06359984001</v>
      </c>
      <c r="I18" s="22"/>
      <c r="J18" s="32">
        <f t="shared" ref="J18:J30" si="1">IF(H$12=0,0,H18/H$12)</f>
        <v>0</v>
      </c>
      <c r="K18" s="4"/>
      <c r="L18" s="22">
        <f t="shared" ref="L18:L30" si="2">+D18-H18</f>
        <v>-30336.973599840072</v>
      </c>
      <c r="M18" s="4"/>
      <c r="N18" s="32">
        <f t="shared" ref="N18:N30" si="3">IF(H18=0,0,L18/H18)</f>
        <v>-0.12414052813910671</v>
      </c>
      <c r="O18" s="10"/>
      <c r="P18" s="22">
        <f>SUM(OSRRefP22x_0)</f>
        <v>661244.69999999995</v>
      </c>
      <c r="Q18" s="22"/>
      <c r="R18" s="32">
        <f t="shared" ref="R18:R30" si="4">IF(P$12=0,0,P18/P$12)</f>
        <v>0</v>
      </c>
      <c r="S18" s="22"/>
      <c r="T18" s="22">
        <f>SUM(OSRRefT22x_0)</f>
        <v>760298.29869947978</v>
      </c>
      <c r="U18" s="22"/>
      <c r="V18" s="32">
        <f t="shared" ref="V18:V30" si="5">IF(T$12=0,0,T18/T$12)</f>
        <v>0</v>
      </c>
      <c r="W18" s="4"/>
      <c r="X18" s="22">
        <f t="shared" ref="X18:X30" si="6">+P18-T18</f>
        <v>-99053.59869947983</v>
      </c>
      <c r="Y18" s="4"/>
      <c r="Z18" s="32">
        <f t="shared" ref="Z18:Z30" si="7">IF(T18=0,0,X18/T18)</f>
        <v>-0.13028254682262858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79571.759999999995</v>
      </c>
      <c r="E19" s="1"/>
      <c r="F19" s="5">
        <f t="shared" si="0"/>
        <v>0</v>
      </c>
      <c r="G19" s="1"/>
      <c r="H19" s="1">
        <f>SUM(OSRRefH22_0x_0)</f>
        <v>82679.211685993898</v>
      </c>
      <c r="I19" s="1"/>
      <c r="J19" s="5">
        <f t="shared" si="1"/>
        <v>0</v>
      </c>
      <c r="K19" s="1"/>
      <c r="L19" s="1">
        <f t="shared" si="2"/>
        <v>-3107.4516859939031</v>
      </c>
      <c r="M19" s="1"/>
      <c r="N19" s="5">
        <f t="shared" si="3"/>
        <v>-3.7584437764061493E-2</v>
      </c>
      <c r="O19" s="14"/>
      <c r="P19" s="1">
        <f>SUM(OSRRefP22_0x_0)</f>
        <v>236775.43</v>
      </c>
      <c r="Q19" s="1"/>
      <c r="R19" s="5">
        <f t="shared" si="4"/>
        <v>0</v>
      </c>
      <c r="S19" s="1"/>
      <c r="T19" s="1">
        <f>SUM(OSRRefT22_0x_0)</f>
        <v>254777.02997947999</v>
      </c>
      <c r="U19" s="1"/>
      <c r="V19" s="5">
        <f t="shared" si="5"/>
        <v>0</v>
      </c>
      <c r="W19" s="1"/>
      <c r="X19" s="1">
        <f t="shared" si="6"/>
        <v>-18001.599979480001</v>
      </c>
      <c r="Y19" s="1"/>
      <c r="Z19" s="5">
        <f t="shared" si="7"/>
        <v>-7.0656291035851498E-2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7256.42</v>
      </c>
      <c r="E20" s="2"/>
      <c r="F20" s="6">
        <f t="shared" si="0"/>
        <v>0</v>
      </c>
      <c r="G20" s="2"/>
      <c r="H20" s="7">
        <v>7380.2394505476896</v>
      </c>
      <c r="I20" s="2"/>
      <c r="J20" s="6">
        <f t="shared" si="1"/>
        <v>0</v>
      </c>
      <c r="K20" s="2"/>
      <c r="L20" s="7">
        <f t="shared" si="2"/>
        <v>-123.81945054768948</v>
      </c>
      <c r="M20" s="2"/>
      <c r="N20" s="6">
        <f t="shared" si="3"/>
        <v>-1.6777158976664479E-2</v>
      </c>
      <c r="O20" s="11"/>
      <c r="P20" s="7">
        <v>22064.49</v>
      </c>
      <c r="Q20" s="2"/>
      <c r="R20" s="6">
        <f t="shared" si="4"/>
        <v>0</v>
      </c>
      <c r="S20" s="2"/>
      <c r="T20" s="7">
        <v>23985.778214279999</v>
      </c>
      <c r="U20" s="2"/>
      <c r="V20" s="6">
        <f t="shared" si="5"/>
        <v>0</v>
      </c>
      <c r="W20" s="2"/>
      <c r="X20" s="7">
        <f t="shared" si="6"/>
        <v>-1921.2882142799972</v>
      </c>
      <c r="Y20" s="2"/>
      <c r="Z20" s="6">
        <f t="shared" si="7"/>
        <v>-8.0101141481252955E-2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1428.76</v>
      </c>
      <c r="E21" s="2"/>
      <c r="F21" s="6">
        <f t="shared" si="0"/>
        <v>0</v>
      </c>
      <c r="G21" s="2"/>
      <c r="H21" s="7">
        <v>606.11789095384597</v>
      </c>
      <c r="I21" s="2"/>
      <c r="J21" s="6">
        <f t="shared" si="1"/>
        <v>0</v>
      </c>
      <c r="K21" s="2"/>
      <c r="L21" s="7">
        <f t="shared" si="2"/>
        <v>822.64210904615402</v>
      </c>
      <c r="M21" s="2"/>
      <c r="N21" s="6">
        <f t="shared" si="3"/>
        <v>1.3572311943334399</v>
      </c>
      <c r="O21" s="11"/>
      <c r="P21" s="7">
        <v>4285.51</v>
      </c>
      <c r="Q21" s="2"/>
      <c r="R21" s="6">
        <f t="shared" si="4"/>
        <v>0</v>
      </c>
      <c r="S21" s="2"/>
      <c r="T21" s="7">
        <v>1954.2591456</v>
      </c>
      <c r="U21" s="2"/>
      <c r="V21" s="6">
        <f t="shared" si="5"/>
        <v>0</v>
      </c>
      <c r="W21" s="2"/>
      <c r="X21" s="7">
        <f t="shared" si="6"/>
        <v>2331.2508544000002</v>
      </c>
      <c r="Y21" s="2"/>
      <c r="Z21" s="6">
        <f t="shared" si="7"/>
        <v>1.1929077367496497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22743.99</v>
      </c>
      <c r="E22" s="2"/>
      <c r="F22" s="6">
        <f t="shared" si="0"/>
        <v>0</v>
      </c>
      <c r="G22" s="2"/>
      <c r="H22" s="7">
        <v>22944.538461538501</v>
      </c>
      <c r="I22" s="2"/>
      <c r="J22" s="6">
        <f t="shared" si="1"/>
        <v>0</v>
      </c>
      <c r="K22" s="2"/>
      <c r="L22" s="7">
        <f t="shared" si="2"/>
        <v>-200.5484615384994</v>
      </c>
      <c r="M22" s="2"/>
      <c r="N22" s="6">
        <f t="shared" si="3"/>
        <v>-8.7405750991537707E-3</v>
      </c>
      <c r="O22" s="11"/>
      <c r="P22" s="7">
        <v>67565.09</v>
      </c>
      <c r="Q22" s="2"/>
      <c r="R22" s="6">
        <f t="shared" si="4"/>
        <v>0</v>
      </c>
      <c r="S22" s="2"/>
      <c r="T22" s="7">
        <v>70371</v>
      </c>
      <c r="U22" s="2"/>
      <c r="V22" s="6">
        <f t="shared" si="5"/>
        <v>0</v>
      </c>
      <c r="W22" s="2"/>
      <c r="X22" s="7">
        <f t="shared" si="6"/>
        <v>-2805.9100000000035</v>
      </c>
      <c r="Y22" s="2"/>
      <c r="Z22" s="6">
        <f t="shared" si="7"/>
        <v>-3.987310113541094E-2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251.96</v>
      </c>
      <c r="E23" s="2"/>
      <c r="F23" s="6">
        <f t="shared" si="0"/>
        <v>0</v>
      </c>
      <c r="G23" s="2"/>
      <c r="H23" s="7">
        <v>219.81939064615401</v>
      </c>
      <c r="I23" s="2"/>
      <c r="J23" s="6">
        <f t="shared" si="1"/>
        <v>0</v>
      </c>
      <c r="K23" s="2"/>
      <c r="L23" s="7">
        <f t="shared" si="2"/>
        <v>32.140609353846003</v>
      </c>
      <c r="M23" s="2"/>
      <c r="N23" s="6">
        <f t="shared" si="3"/>
        <v>0.14621371326419125</v>
      </c>
      <c r="O23" s="11"/>
      <c r="P23" s="7">
        <v>754.1</v>
      </c>
      <c r="Q23" s="2"/>
      <c r="R23" s="6">
        <f t="shared" si="4"/>
        <v>0</v>
      </c>
      <c r="S23" s="2"/>
      <c r="T23" s="7">
        <v>703.82901960000004</v>
      </c>
      <c r="U23" s="2"/>
      <c r="V23" s="6">
        <f t="shared" si="5"/>
        <v>0</v>
      </c>
      <c r="W23" s="2"/>
      <c r="X23" s="7">
        <f t="shared" si="6"/>
        <v>50.270980399999985</v>
      </c>
      <c r="Y23" s="2"/>
      <c r="Z23" s="6">
        <f t="shared" si="7"/>
        <v>7.1424989592742252E-2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7497.95</v>
      </c>
      <c r="E24" s="2"/>
      <c r="F24" s="6">
        <f t="shared" si="0"/>
        <v>0</v>
      </c>
      <c r="G24" s="2"/>
      <c r="H24" s="7">
        <v>5940.8879384615402</v>
      </c>
      <c r="I24" s="2"/>
      <c r="J24" s="6">
        <f t="shared" si="1"/>
        <v>0</v>
      </c>
      <c r="K24" s="2"/>
      <c r="L24" s="7">
        <f t="shared" si="2"/>
        <v>1557.0620615384596</v>
      </c>
      <c r="M24" s="2"/>
      <c r="N24" s="6">
        <f t="shared" si="3"/>
        <v>0.26209248140467001</v>
      </c>
      <c r="O24" s="11"/>
      <c r="P24" s="7">
        <v>22493.85</v>
      </c>
      <c r="Q24" s="2"/>
      <c r="R24" s="6">
        <f t="shared" si="4"/>
        <v>0</v>
      </c>
      <c r="S24" s="2"/>
      <c r="T24" s="7">
        <v>19307.8858</v>
      </c>
      <c r="U24" s="2"/>
      <c r="V24" s="6">
        <f t="shared" si="5"/>
        <v>0</v>
      </c>
      <c r="W24" s="2"/>
      <c r="X24" s="7">
        <f t="shared" si="6"/>
        <v>3185.9641999999985</v>
      </c>
      <c r="Y24" s="2"/>
      <c r="Z24" s="6">
        <f t="shared" si="7"/>
        <v>0.16500844437354184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417</v>
      </c>
      <c r="I25" s="2"/>
      <c r="J25" s="6">
        <f t="shared" si="1"/>
        <v>0</v>
      </c>
      <c r="K25" s="2"/>
      <c r="L25" s="7">
        <f t="shared" si="2"/>
        <v>-417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1251</v>
      </c>
      <c r="U25" s="2"/>
      <c r="V25" s="6">
        <f t="shared" si="5"/>
        <v>0</v>
      </c>
      <c r="W25" s="2"/>
      <c r="X25" s="7">
        <f t="shared" si="6"/>
        <v>-1251</v>
      </c>
      <c r="Y25" s="2"/>
      <c r="Z25" s="6">
        <f t="shared" si="7"/>
        <v>-1</v>
      </c>
    </row>
    <row r="26" spans="1:26" s="24" customFormat="1" hidden="1" outlineLevel="2" x14ac:dyDescent="0.25">
      <c r="A26" s="29"/>
      <c r="B26" s="11" t="str">
        <f>CONCATENATE("          ", "6117", " - ", "RETIREMENT STAFF HOURLY")</f>
        <v xml:space="preserve">          6117 - RETIREMENT STAFF HOURLY</v>
      </c>
      <c r="C26" s="11"/>
      <c r="D26" s="7">
        <v>307.75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307.75</v>
      </c>
      <c r="M26" s="2"/>
      <c r="N26" s="6">
        <f t="shared" si="3"/>
        <v>0</v>
      </c>
      <c r="O26" s="11"/>
      <c r="P26" s="7">
        <v>1850.43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1850.43</v>
      </c>
      <c r="Y26" s="2"/>
      <c r="Z26" s="6">
        <f t="shared" si="7"/>
        <v>0</v>
      </c>
    </row>
    <row r="27" spans="1:26" s="24" customFormat="1" hidden="1" outlineLevel="2" x14ac:dyDescent="0.25">
      <c r="A27" s="29"/>
      <c r="B27" s="11" t="str">
        <f>CONCATENATE("          ", "6118", " - ", "VACATION")</f>
        <v xml:space="preserve">          6118 - VACATION</v>
      </c>
      <c r="C27" s="11"/>
      <c r="D27" s="7">
        <v>6193.49</v>
      </c>
      <c r="E27" s="2"/>
      <c r="F27" s="6">
        <f t="shared" si="0"/>
        <v>0</v>
      </c>
      <c r="G27" s="2"/>
      <c r="H27" s="7">
        <v>4165.0268553846199</v>
      </c>
      <c r="I27" s="2"/>
      <c r="J27" s="6">
        <f t="shared" si="1"/>
        <v>0</v>
      </c>
      <c r="K27" s="2"/>
      <c r="L27" s="7">
        <f t="shared" si="2"/>
        <v>2028.4631446153799</v>
      </c>
      <c r="M27" s="2"/>
      <c r="N27" s="6">
        <f t="shared" si="3"/>
        <v>0.48702282483315734</v>
      </c>
      <c r="O27" s="11"/>
      <c r="P27" s="7">
        <v>19027.900000000001</v>
      </c>
      <c r="Q27" s="2"/>
      <c r="R27" s="6">
        <f t="shared" si="4"/>
        <v>0</v>
      </c>
      <c r="S27" s="2"/>
      <c r="T27" s="7">
        <v>13536.33728</v>
      </c>
      <c r="U27" s="2"/>
      <c r="V27" s="6">
        <f t="shared" si="5"/>
        <v>0</v>
      </c>
      <c r="W27" s="2"/>
      <c r="X27" s="7">
        <f t="shared" si="6"/>
        <v>5491.5627200000017</v>
      </c>
      <c r="Y27" s="2"/>
      <c r="Z27" s="6">
        <f t="shared" si="7"/>
        <v>0.40569044686215161</v>
      </c>
    </row>
    <row r="28" spans="1:26" s="24" customFormat="1" hidden="1" outlineLevel="2" x14ac:dyDescent="0.25">
      <c r="A28" s="29"/>
      <c r="B28" s="11" t="str">
        <f>CONCATENATE("          ", "6119", " - ", "SICK LEAVE")</f>
        <v xml:space="preserve">          6119 - SICK LEAVE</v>
      </c>
      <c r="C28" s="11"/>
      <c r="D28" s="7">
        <v>4256.4799999999996</v>
      </c>
      <c r="E28" s="2"/>
      <c r="F28" s="6">
        <f t="shared" si="0"/>
        <v>0</v>
      </c>
      <c r="G28" s="2"/>
      <c r="H28" s="7">
        <v>3605.5816984615499</v>
      </c>
      <c r="I28" s="2"/>
      <c r="J28" s="6">
        <f t="shared" si="1"/>
        <v>0</v>
      </c>
      <c r="K28" s="2"/>
      <c r="L28" s="7">
        <f t="shared" si="2"/>
        <v>650.89830153844969</v>
      </c>
      <c r="M28" s="2"/>
      <c r="N28" s="6">
        <f t="shared" si="3"/>
        <v>0.18052518455376526</v>
      </c>
      <c r="O28" s="11"/>
      <c r="P28" s="7">
        <v>12769.44</v>
      </c>
      <c r="Q28" s="2"/>
      <c r="R28" s="6">
        <f t="shared" si="4"/>
        <v>0</v>
      </c>
      <c r="S28" s="2"/>
      <c r="T28" s="7">
        <v>11566.94052</v>
      </c>
      <c r="U28" s="2"/>
      <c r="V28" s="6">
        <f t="shared" si="5"/>
        <v>0</v>
      </c>
      <c r="W28" s="2"/>
      <c r="X28" s="7">
        <f t="shared" si="6"/>
        <v>1202.4994800000004</v>
      </c>
      <c r="Y28" s="2"/>
      <c r="Z28" s="6">
        <f t="shared" si="7"/>
        <v>0.10396002970023056</v>
      </c>
    </row>
    <row r="29" spans="1:26" s="24" customFormat="1" hidden="1" outlineLevel="2" x14ac:dyDescent="0.25">
      <c r="A29" s="29"/>
      <c r="B29" s="11" t="str">
        <f>CONCATENATE("          ", "6120", " - ", "RETIREES HEALTH INSURANCE")</f>
        <v xml:space="preserve">          6120 - RETIREES HEALTH INSURANCE</v>
      </c>
      <c r="C29" s="11"/>
      <c r="D29" s="7">
        <v>28310.06</v>
      </c>
      <c r="E29" s="2"/>
      <c r="F29" s="6">
        <f t="shared" si="0"/>
        <v>0</v>
      </c>
      <c r="G29" s="2"/>
      <c r="H29" s="7">
        <v>35000</v>
      </c>
      <c r="I29" s="2"/>
      <c r="J29" s="6">
        <f t="shared" si="1"/>
        <v>0</v>
      </c>
      <c r="K29" s="2"/>
      <c r="L29" s="7">
        <f t="shared" si="2"/>
        <v>-6689.9399999999987</v>
      </c>
      <c r="M29" s="2"/>
      <c r="N29" s="6">
        <f t="shared" si="3"/>
        <v>-0.19114114285714282</v>
      </c>
      <c r="O29" s="11"/>
      <c r="P29" s="7">
        <v>82421.179999999993</v>
      </c>
      <c r="Q29" s="2"/>
      <c r="R29" s="6">
        <f t="shared" si="4"/>
        <v>0</v>
      </c>
      <c r="S29" s="2"/>
      <c r="T29" s="7">
        <v>105000</v>
      </c>
      <c r="U29" s="2"/>
      <c r="V29" s="6">
        <f t="shared" si="5"/>
        <v>0</v>
      </c>
      <c r="W29" s="2"/>
      <c r="X29" s="7">
        <f t="shared" si="6"/>
        <v>-22578.820000000007</v>
      </c>
      <c r="Y29" s="2"/>
      <c r="Z29" s="6">
        <f t="shared" si="7"/>
        <v>-0.21503638095238101</v>
      </c>
    </row>
    <row r="30" spans="1:26" s="24" customFormat="1" hidden="1" outlineLevel="2" x14ac:dyDescent="0.25">
      <c r="A30" s="29"/>
      <c r="B30" s="11" t="str">
        <f>CONCATENATE("          ", "6156", " - ", "EMPLOYEE MEALS")</f>
        <v xml:space="preserve">          6156 - EMPLOYEE MEALS</v>
      </c>
      <c r="C30" s="11"/>
      <c r="D30" s="7">
        <v>1324.9</v>
      </c>
      <c r="E30" s="2"/>
      <c r="F30" s="6">
        <f t="shared" si="0"/>
        <v>0</v>
      </c>
      <c r="G30" s="2"/>
      <c r="H30" s="7">
        <v>2400</v>
      </c>
      <c r="I30" s="2"/>
      <c r="J30" s="6">
        <f t="shared" si="1"/>
        <v>0</v>
      </c>
      <c r="K30" s="2"/>
      <c r="L30" s="7">
        <f t="shared" si="2"/>
        <v>-1075.0999999999999</v>
      </c>
      <c r="M30" s="2"/>
      <c r="N30" s="6">
        <f t="shared" si="3"/>
        <v>-0.44795833333333329</v>
      </c>
      <c r="O30" s="11"/>
      <c r="P30" s="7">
        <v>3543.44</v>
      </c>
      <c r="Q30" s="2"/>
      <c r="R30" s="6">
        <f t="shared" si="4"/>
        <v>0</v>
      </c>
      <c r="S30" s="2"/>
      <c r="T30" s="7">
        <v>7100</v>
      </c>
      <c r="U30" s="2"/>
      <c r="V30" s="6">
        <f t="shared" si="5"/>
        <v>0</v>
      </c>
      <c r="W30" s="2"/>
      <c r="X30" s="7">
        <f t="shared" si="6"/>
        <v>-3556.56</v>
      </c>
      <c r="Y30" s="2"/>
      <c r="Z30" s="6">
        <f t="shared" si="7"/>
        <v>-0.50092394366197179</v>
      </c>
    </row>
    <row r="31" spans="1:26" s="28" customFormat="1" outlineLevel="1" collapsed="1" x14ac:dyDescent="0.2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88046.800000000017</v>
      </c>
      <c r="E31" s="1"/>
      <c r="F31" s="5">
        <f t="shared" ref="F31:F41" si="8">IF(D$12=0,0,D31/D$12)</f>
        <v>0</v>
      </c>
      <c r="G31" s="1"/>
      <c r="H31" s="1">
        <f>SUM(OSRRefH22_1x_0)</f>
        <v>95782.851913846098</v>
      </c>
      <c r="I31" s="1"/>
      <c r="J31" s="5">
        <f t="shared" ref="J31:J41" si="9">IF(H$12=0,0,H31/H$12)</f>
        <v>0</v>
      </c>
      <c r="K31" s="1"/>
      <c r="L31" s="1">
        <f t="shared" ref="L31:L41" si="10">+D31-H31</f>
        <v>-7736.0519138460804</v>
      </c>
      <c r="M31" s="1"/>
      <c r="N31" s="5">
        <f t="shared" ref="N31:N41" si="11">IF(H31=0,0,L31/H31)</f>
        <v>-8.0766564779303454E-2</v>
      </c>
      <c r="O31" s="14"/>
      <c r="P31" s="1">
        <f>SUM(OSRRefP22_1x_0)</f>
        <v>291134.47000000009</v>
      </c>
      <c r="Q31" s="1"/>
      <c r="R31" s="5">
        <f t="shared" ref="R31:R41" si="12">IF(P$12=0,0,P31/P$12)</f>
        <v>0</v>
      </c>
      <c r="S31" s="1"/>
      <c r="T31" s="1">
        <f>SUM(OSRRefT22_1x_0)</f>
        <v>306254.26871999988</v>
      </c>
      <c r="U31" s="1"/>
      <c r="V31" s="5">
        <f t="shared" ref="V31:V41" si="13">IF(T$12=0,0,T31/T$12)</f>
        <v>0</v>
      </c>
      <c r="W31" s="1"/>
      <c r="X31" s="1">
        <f t="shared" ref="X31:X41" si="14">+P31-T31</f>
        <v>-15119.798719999788</v>
      </c>
      <c r="Y31" s="1"/>
      <c r="Z31" s="5">
        <f t="shared" ref="Z31:Z41" si="15">IF(T31=0,0,X31/T31)</f>
        <v>-4.9370083176941498E-2</v>
      </c>
    </row>
    <row r="32" spans="1:26" s="24" customFormat="1" hidden="1" outlineLevel="2" x14ac:dyDescent="0.25">
      <c r="A32" s="29"/>
      <c r="B32" s="11" t="str">
        <f>CONCATENATE("          ", "6001", " - ", "ADMINISTRATIVE SALARIES")</f>
        <v xml:space="preserve">          6001 - ADMINISTRATIVE SALARIES</v>
      </c>
      <c r="C32" s="11"/>
      <c r="D32" s="7">
        <v>20961.580000000002</v>
      </c>
      <c r="E32" s="2"/>
      <c r="F32" s="6">
        <f t="shared" si="8"/>
        <v>0</v>
      </c>
      <c r="G32" s="2"/>
      <c r="H32" s="7">
        <v>27893.119999999999</v>
      </c>
      <c r="I32" s="2"/>
      <c r="J32" s="6">
        <f t="shared" si="9"/>
        <v>0</v>
      </c>
      <c r="K32" s="2"/>
      <c r="L32" s="7">
        <f t="shared" si="10"/>
        <v>-6931.5399999999972</v>
      </c>
      <c r="M32" s="2"/>
      <c r="N32" s="6">
        <f t="shared" si="11"/>
        <v>-0.24850357364109851</v>
      </c>
      <c r="O32" s="11"/>
      <c r="P32" s="7">
        <v>72339.460000000006</v>
      </c>
      <c r="Q32" s="2"/>
      <c r="R32" s="6">
        <f t="shared" si="12"/>
        <v>0</v>
      </c>
      <c r="S32" s="2"/>
      <c r="T32" s="7">
        <v>90652.639999999898</v>
      </c>
      <c r="U32" s="2"/>
      <c r="V32" s="6">
        <f t="shared" si="13"/>
        <v>0</v>
      </c>
      <c r="W32" s="2"/>
      <c r="X32" s="7">
        <f t="shared" si="14"/>
        <v>-18313.179999999891</v>
      </c>
      <c r="Y32" s="2"/>
      <c r="Z32" s="6">
        <f t="shared" si="15"/>
        <v>-0.20201485582769471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>
        <v>44941.71</v>
      </c>
      <c r="E33" s="2"/>
      <c r="F33" s="6">
        <f t="shared" si="8"/>
        <v>0</v>
      </c>
      <c r="G33" s="2"/>
      <c r="H33" s="7">
        <v>35167.686153846102</v>
      </c>
      <c r="I33" s="2"/>
      <c r="J33" s="6">
        <f t="shared" si="9"/>
        <v>0</v>
      </c>
      <c r="K33" s="2"/>
      <c r="L33" s="7">
        <f t="shared" si="10"/>
        <v>9774.0238461538975</v>
      </c>
      <c r="M33" s="2"/>
      <c r="N33" s="6">
        <f t="shared" si="11"/>
        <v>0.27792627025264116</v>
      </c>
      <c r="O33" s="11"/>
      <c r="P33" s="7">
        <v>148479.87</v>
      </c>
      <c r="Q33" s="2"/>
      <c r="R33" s="6">
        <f t="shared" si="12"/>
        <v>0</v>
      </c>
      <c r="S33" s="2"/>
      <c r="T33" s="7">
        <v>114294.98</v>
      </c>
      <c r="U33" s="2"/>
      <c r="V33" s="6">
        <f t="shared" si="13"/>
        <v>0</v>
      </c>
      <c r="W33" s="2"/>
      <c r="X33" s="7">
        <f t="shared" si="14"/>
        <v>34184.89</v>
      </c>
      <c r="Y33" s="2"/>
      <c r="Z33" s="6">
        <f t="shared" si="15"/>
        <v>0.29909353849136683</v>
      </c>
    </row>
    <row r="34" spans="1:26" s="24" customFormat="1" hidden="1" outlineLevel="2" x14ac:dyDescent="0.25">
      <c r="A34" s="29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9"/>
      <c r="B35" s="11" t="str">
        <f>CONCATENATE("          ", "6004", " - ", "STAFF HOURLY")</f>
        <v xml:space="preserve">          6004 - STAFF HOURLY</v>
      </c>
      <c r="C35" s="11"/>
      <c r="D35" s="7">
        <v>18216.78</v>
      </c>
      <c r="E35" s="2"/>
      <c r="F35" s="6">
        <f t="shared" si="8"/>
        <v>0</v>
      </c>
      <c r="G35" s="2"/>
      <c r="H35" s="7">
        <v>24042.045760000001</v>
      </c>
      <c r="I35" s="2"/>
      <c r="J35" s="6">
        <f t="shared" si="9"/>
        <v>0</v>
      </c>
      <c r="K35" s="2"/>
      <c r="L35" s="7">
        <f t="shared" si="10"/>
        <v>-5825.265760000002</v>
      </c>
      <c r="M35" s="2"/>
      <c r="N35" s="6">
        <f t="shared" si="11"/>
        <v>-0.24229492856601242</v>
      </c>
      <c r="O35" s="11"/>
      <c r="P35" s="7">
        <v>54517.84</v>
      </c>
      <c r="Q35" s="2"/>
      <c r="R35" s="6">
        <f t="shared" si="12"/>
        <v>0</v>
      </c>
      <c r="S35" s="2"/>
      <c r="T35" s="7">
        <v>78136.648719999997</v>
      </c>
      <c r="U35" s="2"/>
      <c r="V35" s="6">
        <f t="shared" si="13"/>
        <v>0</v>
      </c>
      <c r="W35" s="2"/>
      <c r="X35" s="7">
        <f t="shared" si="14"/>
        <v>-23618.808720000001</v>
      </c>
      <c r="Y35" s="2"/>
      <c r="Z35" s="6">
        <f t="shared" si="15"/>
        <v>-0.30227568121890142</v>
      </c>
    </row>
    <row r="36" spans="1:26" s="24" customFormat="1" hidden="1" outlineLevel="2" x14ac:dyDescent="0.25">
      <c r="A36" s="29"/>
      <c r="B36" s="11" t="str">
        <f>CONCATENATE("          ", "6005", " - ", "TEMPORARY WAGES-HOURLY")</f>
        <v xml:space="preserve">          6005 - TEMPORARY WAGES-HOURLY</v>
      </c>
      <c r="C36" s="11"/>
      <c r="D36" s="7">
        <v>1613.25</v>
      </c>
      <c r="E36" s="2"/>
      <c r="F36" s="6">
        <f t="shared" si="8"/>
        <v>0</v>
      </c>
      <c r="G36" s="2"/>
      <c r="H36" s="7">
        <v>3880</v>
      </c>
      <c r="I36" s="2"/>
      <c r="J36" s="6">
        <f t="shared" si="9"/>
        <v>0</v>
      </c>
      <c r="K36" s="2"/>
      <c r="L36" s="7">
        <f t="shared" si="10"/>
        <v>-2266.75</v>
      </c>
      <c r="M36" s="2"/>
      <c r="N36" s="6">
        <f t="shared" si="11"/>
        <v>-0.58421391752577323</v>
      </c>
      <c r="O36" s="11"/>
      <c r="P36" s="7">
        <v>4614.5</v>
      </c>
      <c r="Q36" s="2"/>
      <c r="R36" s="6">
        <f t="shared" si="12"/>
        <v>0</v>
      </c>
      <c r="S36" s="2"/>
      <c r="T36" s="7">
        <v>12610</v>
      </c>
      <c r="U36" s="2"/>
      <c r="V36" s="6">
        <f t="shared" si="13"/>
        <v>0</v>
      </c>
      <c r="W36" s="2"/>
      <c r="X36" s="7">
        <f t="shared" si="14"/>
        <v>-7995.5</v>
      </c>
      <c r="Y36" s="2"/>
      <c r="Z36" s="6">
        <f t="shared" si="15"/>
        <v>-0.6340602696272799</v>
      </c>
    </row>
    <row r="37" spans="1:26" s="24" customFormat="1" hidden="1" outlineLevel="2" x14ac:dyDescent="0.25">
      <c r="A37" s="29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9"/>
      <c r="B38" s="11" t="str">
        <f>CONCATENATE("          ", "6007", " - ", "STUDENT HOURLY")</f>
        <v xml:space="preserve">          6007 - STUDENT HOURLY</v>
      </c>
      <c r="C38" s="11"/>
      <c r="D38" s="7">
        <v>1440.96</v>
      </c>
      <c r="E38" s="2"/>
      <c r="F38" s="6">
        <f t="shared" si="8"/>
        <v>0</v>
      </c>
      <c r="G38" s="2"/>
      <c r="H38" s="7">
        <v>2560</v>
      </c>
      <c r="I38" s="2"/>
      <c r="J38" s="6">
        <f t="shared" si="9"/>
        <v>0</v>
      </c>
      <c r="K38" s="2"/>
      <c r="L38" s="7">
        <f t="shared" si="10"/>
        <v>-1119.04</v>
      </c>
      <c r="M38" s="2"/>
      <c r="N38" s="6">
        <f t="shared" si="11"/>
        <v>-0.43712499999999999</v>
      </c>
      <c r="O38" s="11"/>
      <c r="P38" s="7">
        <v>5207.96</v>
      </c>
      <c r="Q38" s="2"/>
      <c r="R38" s="6">
        <f t="shared" si="12"/>
        <v>0</v>
      </c>
      <c r="S38" s="2"/>
      <c r="T38" s="7">
        <v>8320</v>
      </c>
      <c r="U38" s="2"/>
      <c r="V38" s="6">
        <f t="shared" si="13"/>
        <v>0</v>
      </c>
      <c r="W38" s="2"/>
      <c r="X38" s="7">
        <f t="shared" si="14"/>
        <v>-3112.04</v>
      </c>
      <c r="Y38" s="2"/>
      <c r="Z38" s="6">
        <f t="shared" si="15"/>
        <v>-0.37404326923076925</v>
      </c>
    </row>
    <row r="39" spans="1:26" s="24" customFormat="1" hidden="1" outlineLevel="2" x14ac:dyDescent="0.25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7">
        <v>872.52</v>
      </c>
      <c r="E39" s="2"/>
      <c r="F39" s="6">
        <f t="shared" si="8"/>
        <v>0</v>
      </c>
      <c r="G39" s="2"/>
      <c r="H39" s="7">
        <v>2240</v>
      </c>
      <c r="I39" s="2"/>
      <c r="J39" s="6">
        <f t="shared" si="9"/>
        <v>0</v>
      </c>
      <c r="K39" s="2"/>
      <c r="L39" s="7">
        <f t="shared" si="10"/>
        <v>-1367.48</v>
      </c>
      <c r="M39" s="2"/>
      <c r="N39" s="6">
        <f t="shared" si="11"/>
        <v>-0.61048214285714286</v>
      </c>
      <c r="O39" s="11"/>
      <c r="P39" s="7">
        <v>5974.84</v>
      </c>
      <c r="Q39" s="2"/>
      <c r="R39" s="6">
        <f t="shared" si="12"/>
        <v>0</v>
      </c>
      <c r="S39" s="2"/>
      <c r="T39" s="7">
        <v>2240</v>
      </c>
      <c r="U39" s="2"/>
      <c r="V39" s="6">
        <f t="shared" si="13"/>
        <v>0</v>
      </c>
      <c r="W39" s="2"/>
      <c r="X39" s="7">
        <f t="shared" si="14"/>
        <v>3734.84</v>
      </c>
      <c r="Y39" s="2"/>
      <c r="Z39" s="6">
        <f t="shared" si="15"/>
        <v>1.6673392857142857</v>
      </c>
    </row>
    <row r="40" spans="1:26" s="24" customFormat="1" hidden="1" outlineLevel="2" x14ac:dyDescent="0.25">
      <c r="A40" s="29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4" customFormat="1" hidden="1" outlineLevel="2" x14ac:dyDescent="0.25">
      <c r="A41" s="29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8"/>
        <v>0</v>
      </c>
      <c r="G41" s="2"/>
      <c r="H41" s="7">
        <v>0</v>
      </c>
      <c r="I41" s="2"/>
      <c r="J41" s="6">
        <f t="shared" si="9"/>
        <v>0</v>
      </c>
      <c r="K41" s="2"/>
      <c r="L41" s="7">
        <f t="shared" si="10"/>
        <v>0</v>
      </c>
      <c r="M41" s="2"/>
      <c r="N41" s="6">
        <f t="shared" si="11"/>
        <v>0</v>
      </c>
      <c r="O41" s="11"/>
      <c r="P41" s="7"/>
      <c r="Q41" s="2"/>
      <c r="R41" s="6">
        <f t="shared" si="12"/>
        <v>0</v>
      </c>
      <c r="S41" s="2"/>
      <c r="T41" s="7">
        <v>0</v>
      </c>
      <c r="U41" s="2"/>
      <c r="V41" s="6">
        <f t="shared" si="13"/>
        <v>0</v>
      </c>
      <c r="W41" s="2"/>
      <c r="X41" s="7">
        <f t="shared" si="14"/>
        <v>0</v>
      </c>
      <c r="Y41" s="2"/>
      <c r="Z41" s="6">
        <f t="shared" si="15"/>
        <v>0</v>
      </c>
    </row>
    <row r="42" spans="1:26" s="28" customFormat="1" outlineLevel="1" collapsed="1" x14ac:dyDescent="0.25">
      <c r="A42" s="27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110.84</v>
      </c>
      <c r="E42" s="1"/>
      <c r="F42" s="5">
        <f t="shared" ref="F42:F50" si="16">IF(D$12=0,0,D42/D$12)</f>
        <v>0</v>
      </c>
      <c r="G42" s="1"/>
      <c r="H42" s="1">
        <f>SUM(OSRRefH22_2x_0)</f>
        <v>817</v>
      </c>
      <c r="I42" s="1"/>
      <c r="J42" s="5">
        <f t="shared" ref="J42:J50" si="17">IF(H$12=0,0,H42/H$12)</f>
        <v>0</v>
      </c>
      <c r="K42" s="1"/>
      <c r="L42" s="1">
        <f t="shared" ref="L42:L50" si="18">+D42-H42</f>
        <v>-706.16</v>
      </c>
      <c r="M42" s="1"/>
      <c r="N42" s="5">
        <f t="shared" ref="N42:N50" si="19">IF(H42=0,0,L42/H42)</f>
        <v>-0.86433292533659722</v>
      </c>
      <c r="O42" s="14"/>
      <c r="P42" s="1">
        <f>SUM(OSRRefP22_2x_0)</f>
        <v>586.44000000000005</v>
      </c>
      <c r="Q42" s="1"/>
      <c r="R42" s="5">
        <f t="shared" ref="R42:R50" si="20">IF(P$12=0,0,P42/P$12)</f>
        <v>0</v>
      </c>
      <c r="S42" s="1"/>
      <c r="T42" s="1">
        <f>SUM(OSRRefT22_2x_0)</f>
        <v>2051</v>
      </c>
      <c r="U42" s="1"/>
      <c r="V42" s="5">
        <f t="shared" ref="V42:V50" si="21">IF(T$12=0,0,T42/T$12)</f>
        <v>0</v>
      </c>
      <c r="W42" s="1"/>
      <c r="X42" s="1">
        <f t="shared" ref="X42:X50" si="22">+P42-T42</f>
        <v>-1464.56</v>
      </c>
      <c r="Y42" s="1"/>
      <c r="Z42" s="5">
        <f t="shared" ref="Z42:Z50" si="23">IF(T42=0,0,X42/T42)</f>
        <v>-0.71407118478790832</v>
      </c>
    </row>
    <row r="43" spans="1:26" s="24" customFormat="1" hidden="1" outlineLevel="2" x14ac:dyDescent="0.25">
      <c r="A43" s="29"/>
      <c r="B43" s="11" t="str">
        <f>CONCATENATE("          ", "6362", " - ", "ADVERTISING EXPENSE")</f>
        <v xml:space="preserve">          6362 - ADVERTISING EXPENSE</v>
      </c>
      <c r="C43" s="11"/>
      <c r="D43" s="7">
        <v>110.84</v>
      </c>
      <c r="E43" s="2"/>
      <c r="F43" s="6">
        <f t="shared" si="16"/>
        <v>0</v>
      </c>
      <c r="G43" s="2"/>
      <c r="H43" s="7">
        <v>817</v>
      </c>
      <c r="I43" s="2"/>
      <c r="J43" s="6">
        <f t="shared" si="17"/>
        <v>0</v>
      </c>
      <c r="K43" s="2"/>
      <c r="L43" s="7">
        <f t="shared" si="18"/>
        <v>-706.16</v>
      </c>
      <c r="M43" s="2"/>
      <c r="N43" s="6">
        <f t="shared" si="19"/>
        <v>-0.86433292533659722</v>
      </c>
      <c r="O43" s="11"/>
      <c r="P43" s="7">
        <v>586.44000000000005</v>
      </c>
      <c r="Q43" s="2"/>
      <c r="R43" s="6">
        <f t="shared" si="20"/>
        <v>0</v>
      </c>
      <c r="S43" s="2"/>
      <c r="T43" s="7">
        <v>2051</v>
      </c>
      <c r="U43" s="2"/>
      <c r="V43" s="6">
        <f t="shared" si="21"/>
        <v>0</v>
      </c>
      <c r="W43" s="2"/>
      <c r="X43" s="7">
        <f t="shared" si="22"/>
        <v>-1464.56</v>
      </c>
      <c r="Y43" s="2"/>
      <c r="Z43" s="6">
        <f t="shared" si="23"/>
        <v>-0.71407118478790832</v>
      </c>
    </row>
    <row r="44" spans="1:26" s="28" customFormat="1" outlineLevel="1" collapsed="1" x14ac:dyDescent="0.25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7</v>
      </c>
      <c r="E44" s="1"/>
      <c r="F44" s="5">
        <f t="shared" si="16"/>
        <v>0</v>
      </c>
      <c r="G44" s="1"/>
      <c r="H44" s="1">
        <f>SUM(OSRRefH22_3x_0)</f>
        <v>2000</v>
      </c>
      <c r="I44" s="1"/>
      <c r="J44" s="5">
        <f t="shared" si="17"/>
        <v>0</v>
      </c>
      <c r="K44" s="1"/>
      <c r="L44" s="1">
        <f t="shared" si="18"/>
        <v>-1993</v>
      </c>
      <c r="M44" s="1"/>
      <c r="N44" s="5">
        <f t="shared" si="19"/>
        <v>-0.99650000000000005</v>
      </c>
      <c r="O44" s="14"/>
      <c r="P44" s="1">
        <f>SUM(OSRRefP22_3x_0)</f>
        <v>2363.86</v>
      </c>
      <c r="Q44" s="1"/>
      <c r="R44" s="5">
        <f t="shared" si="20"/>
        <v>0</v>
      </c>
      <c r="S44" s="1"/>
      <c r="T44" s="1">
        <f>SUM(OSRRefT22_3x_0)</f>
        <v>5000</v>
      </c>
      <c r="U44" s="1"/>
      <c r="V44" s="5">
        <f t="shared" si="21"/>
        <v>0</v>
      </c>
      <c r="W44" s="1"/>
      <c r="X44" s="1">
        <f t="shared" si="22"/>
        <v>-2636.14</v>
      </c>
      <c r="Y44" s="1"/>
      <c r="Z44" s="5">
        <f t="shared" si="23"/>
        <v>-0.52722800000000003</v>
      </c>
    </row>
    <row r="45" spans="1:26" s="24" customFormat="1" hidden="1" outlineLevel="2" x14ac:dyDescent="0.25">
      <c r="A45" s="29"/>
      <c r="B45" s="11" t="str">
        <f>CONCATENATE("          ", "6381", " - ", "BANK/CREDIT CARD FEES")</f>
        <v xml:space="preserve">          6381 - BANK/CREDIT CARD FEES</v>
      </c>
      <c r="C45" s="11"/>
      <c r="D45" s="7">
        <v>7</v>
      </c>
      <c r="E45" s="2"/>
      <c r="F45" s="6">
        <f t="shared" si="16"/>
        <v>0</v>
      </c>
      <c r="G45" s="2"/>
      <c r="H45" s="7">
        <v>2000</v>
      </c>
      <c r="I45" s="2"/>
      <c r="J45" s="6">
        <f t="shared" si="17"/>
        <v>0</v>
      </c>
      <c r="K45" s="2"/>
      <c r="L45" s="7">
        <f t="shared" si="18"/>
        <v>-1993</v>
      </c>
      <c r="M45" s="2"/>
      <c r="N45" s="6">
        <f t="shared" si="19"/>
        <v>-0.99650000000000005</v>
      </c>
      <c r="O45" s="11"/>
      <c r="P45" s="7">
        <v>2363.86</v>
      </c>
      <c r="Q45" s="2"/>
      <c r="R45" s="6">
        <f t="shared" si="20"/>
        <v>0</v>
      </c>
      <c r="S45" s="2"/>
      <c r="T45" s="7">
        <v>5000</v>
      </c>
      <c r="U45" s="2"/>
      <c r="V45" s="6">
        <f t="shared" si="21"/>
        <v>0</v>
      </c>
      <c r="W45" s="2"/>
      <c r="X45" s="7">
        <f t="shared" si="22"/>
        <v>-2636.14</v>
      </c>
      <c r="Y45" s="2"/>
      <c r="Z45" s="6">
        <f t="shared" si="23"/>
        <v>-0.52722800000000003</v>
      </c>
    </row>
    <row r="46" spans="1:26" s="28" customFormat="1" outlineLevel="1" collapsed="1" x14ac:dyDescent="0.25">
      <c r="A46" s="27"/>
      <c r="B46" s="14" t="str">
        <f>CONCATENATE("     ","Board                                             ")</f>
        <v xml:space="preserve">     Board                                             </v>
      </c>
      <c r="C46" s="14"/>
      <c r="D46" s="1">
        <f>SUM(OSRRefD22_4x_0)</f>
        <v>1425.15</v>
      </c>
      <c r="E46" s="1"/>
      <c r="F46" s="5">
        <f t="shared" si="16"/>
        <v>0</v>
      </c>
      <c r="G46" s="1"/>
      <c r="H46" s="1">
        <f>SUM(OSRRefH22_4x_0)</f>
        <v>1508</v>
      </c>
      <c r="I46" s="1"/>
      <c r="J46" s="5">
        <f t="shared" si="17"/>
        <v>0</v>
      </c>
      <c r="K46" s="1"/>
      <c r="L46" s="1">
        <f t="shared" si="18"/>
        <v>-82.849999999999909</v>
      </c>
      <c r="M46" s="1"/>
      <c r="N46" s="5">
        <f t="shared" si="19"/>
        <v>-5.4940318302387207E-2</v>
      </c>
      <c r="O46" s="14"/>
      <c r="P46" s="1">
        <f>SUM(OSRRefP22_4x_0)</f>
        <v>3323.91</v>
      </c>
      <c r="Q46" s="1"/>
      <c r="R46" s="5">
        <f t="shared" si="20"/>
        <v>0</v>
      </c>
      <c r="S46" s="1"/>
      <c r="T46" s="1">
        <f>SUM(OSRRefT22_4x_0)</f>
        <v>2524</v>
      </c>
      <c r="U46" s="1"/>
      <c r="V46" s="5">
        <f t="shared" si="21"/>
        <v>0</v>
      </c>
      <c r="W46" s="1"/>
      <c r="X46" s="1">
        <f t="shared" si="22"/>
        <v>799.90999999999985</v>
      </c>
      <c r="Y46" s="1"/>
      <c r="Z46" s="5">
        <f t="shared" si="23"/>
        <v>0.31692155309033276</v>
      </c>
    </row>
    <row r="47" spans="1:26" s="24" customFormat="1" hidden="1" outlineLevel="2" x14ac:dyDescent="0.25">
      <c r="A47" s="29"/>
      <c r="B47" s="11" t="str">
        <f>CONCATENATE("          ", "6397", " - ", "BOARD EXPENSES")</f>
        <v xml:space="preserve">          6397 - BOARD EXPENSES</v>
      </c>
      <c r="C47" s="11"/>
      <c r="D47" s="7">
        <v>1425.15</v>
      </c>
      <c r="E47" s="2"/>
      <c r="F47" s="6">
        <f t="shared" si="16"/>
        <v>0</v>
      </c>
      <c r="G47" s="2"/>
      <c r="H47" s="7">
        <v>1508</v>
      </c>
      <c r="I47" s="2"/>
      <c r="J47" s="6">
        <f t="shared" si="17"/>
        <v>0</v>
      </c>
      <c r="K47" s="2"/>
      <c r="L47" s="7">
        <f t="shared" si="18"/>
        <v>-82.849999999999909</v>
      </c>
      <c r="M47" s="2"/>
      <c r="N47" s="6">
        <f t="shared" si="19"/>
        <v>-5.4940318302387207E-2</v>
      </c>
      <c r="O47" s="11"/>
      <c r="P47" s="7">
        <v>3323.91</v>
      </c>
      <c r="Q47" s="2"/>
      <c r="R47" s="6">
        <f t="shared" si="20"/>
        <v>0</v>
      </c>
      <c r="S47" s="2"/>
      <c r="T47" s="7">
        <v>2524</v>
      </c>
      <c r="U47" s="2"/>
      <c r="V47" s="6">
        <f t="shared" si="21"/>
        <v>0</v>
      </c>
      <c r="W47" s="2"/>
      <c r="X47" s="7">
        <f t="shared" si="22"/>
        <v>799.90999999999985</v>
      </c>
      <c r="Y47" s="2"/>
      <c r="Z47" s="6">
        <f t="shared" si="23"/>
        <v>0.31692155309033276</v>
      </c>
    </row>
    <row r="48" spans="1:26" s="28" customFormat="1" outlineLevel="1" collapsed="1" x14ac:dyDescent="0.25">
      <c r="A48" s="27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SUM(OSRRefD22_5x_0)</f>
        <v>6972.11</v>
      </c>
      <c r="E48" s="1"/>
      <c r="F48" s="5">
        <f t="shared" si="16"/>
        <v>0</v>
      </c>
      <c r="G48" s="1"/>
      <c r="H48" s="1">
        <f>SUM(OSRRefH22_5x_0)</f>
        <v>6930</v>
      </c>
      <c r="I48" s="1"/>
      <c r="J48" s="5">
        <f t="shared" si="17"/>
        <v>0</v>
      </c>
      <c r="K48" s="1"/>
      <c r="L48" s="1">
        <f t="shared" si="18"/>
        <v>42.109999999999673</v>
      </c>
      <c r="M48" s="1"/>
      <c r="N48" s="5">
        <f t="shared" si="19"/>
        <v>6.0764790764790289E-3</v>
      </c>
      <c r="O48" s="14"/>
      <c r="P48" s="1">
        <f>SUM(OSRRefP22_5x_0)</f>
        <v>20916.349999999999</v>
      </c>
      <c r="Q48" s="1"/>
      <c r="R48" s="5">
        <f t="shared" si="20"/>
        <v>0</v>
      </c>
      <c r="S48" s="1"/>
      <c r="T48" s="1">
        <f>SUM(OSRRefT22_5x_0)</f>
        <v>20790</v>
      </c>
      <c r="U48" s="1"/>
      <c r="V48" s="5">
        <f t="shared" si="21"/>
        <v>0</v>
      </c>
      <c r="W48" s="1"/>
      <c r="X48" s="1">
        <f t="shared" si="22"/>
        <v>126.34999999999854</v>
      </c>
      <c r="Y48" s="1"/>
      <c r="Z48" s="5">
        <f t="shared" si="23"/>
        <v>6.0774410774410079E-3</v>
      </c>
    </row>
    <row r="49" spans="1:26" s="24" customFormat="1" hidden="1" outlineLevel="2" x14ac:dyDescent="0.25">
      <c r="A49" s="29"/>
      <c r="B49" s="11" t="str">
        <f>CONCATENATE("          ", "6322", " - ", "EQUIPMENT DEPRECIATION EXPENSE")</f>
        <v xml:space="preserve">          6322 - EQUIPMENT DEPRECIATION EXPENSE</v>
      </c>
      <c r="C49" s="11"/>
      <c r="D49" s="7">
        <v>6972.11</v>
      </c>
      <c r="E49" s="2"/>
      <c r="F49" s="6">
        <f t="shared" si="16"/>
        <v>0</v>
      </c>
      <c r="G49" s="2"/>
      <c r="H49" s="7">
        <v>6430</v>
      </c>
      <c r="I49" s="2"/>
      <c r="J49" s="6">
        <f t="shared" si="17"/>
        <v>0</v>
      </c>
      <c r="K49" s="2"/>
      <c r="L49" s="7">
        <f t="shared" si="18"/>
        <v>542.10999999999967</v>
      </c>
      <c r="M49" s="2"/>
      <c r="N49" s="6">
        <f t="shared" si="19"/>
        <v>8.4309486780715343E-2</v>
      </c>
      <c r="O49" s="11"/>
      <c r="P49" s="7">
        <v>20916.349999999999</v>
      </c>
      <c r="Q49" s="2"/>
      <c r="R49" s="6">
        <f t="shared" si="20"/>
        <v>0</v>
      </c>
      <c r="S49" s="2"/>
      <c r="T49" s="7">
        <v>19290</v>
      </c>
      <c r="U49" s="2"/>
      <c r="V49" s="6">
        <f t="shared" si="21"/>
        <v>0</v>
      </c>
      <c r="W49" s="2"/>
      <c r="X49" s="7">
        <f t="shared" si="22"/>
        <v>1626.3499999999985</v>
      </c>
      <c r="Y49" s="2"/>
      <c r="Z49" s="6">
        <f t="shared" si="23"/>
        <v>8.4310523587350888E-2</v>
      </c>
    </row>
    <row r="50" spans="1:26" s="24" customFormat="1" hidden="1" outlineLevel="2" x14ac:dyDescent="0.25">
      <c r="A50" s="29"/>
      <c r="B50" s="11" t="str">
        <f>CONCATENATE("          ", "6324", " - ", "FURNITURE + FIXT DEPRECIATION")</f>
        <v xml:space="preserve">          6324 - FURNITURE + FIXT DEPRECIATION</v>
      </c>
      <c r="C50" s="11"/>
      <c r="D50" s="7"/>
      <c r="E50" s="2"/>
      <c r="F50" s="6">
        <f t="shared" si="16"/>
        <v>0</v>
      </c>
      <c r="G50" s="2"/>
      <c r="H50" s="7">
        <v>500</v>
      </c>
      <c r="I50" s="2"/>
      <c r="J50" s="6">
        <f t="shared" si="17"/>
        <v>0</v>
      </c>
      <c r="K50" s="2"/>
      <c r="L50" s="7">
        <f t="shared" si="18"/>
        <v>-500</v>
      </c>
      <c r="M50" s="2"/>
      <c r="N50" s="6">
        <f t="shared" si="19"/>
        <v>-1</v>
      </c>
      <c r="O50" s="11"/>
      <c r="P50" s="7"/>
      <c r="Q50" s="2"/>
      <c r="R50" s="6">
        <f t="shared" si="20"/>
        <v>0</v>
      </c>
      <c r="S50" s="2"/>
      <c r="T50" s="7">
        <v>1500</v>
      </c>
      <c r="U50" s="2"/>
      <c r="V50" s="6">
        <f t="shared" si="21"/>
        <v>0</v>
      </c>
      <c r="W50" s="2"/>
      <c r="X50" s="7">
        <f t="shared" si="22"/>
        <v>-1500</v>
      </c>
      <c r="Y50" s="2"/>
      <c r="Z50" s="6">
        <f t="shared" si="23"/>
        <v>-1</v>
      </c>
    </row>
    <row r="51" spans="1:26" s="28" customFormat="1" outlineLevel="1" collapsed="1" x14ac:dyDescent="0.25">
      <c r="A51" s="27"/>
      <c r="B51" s="14" t="str">
        <f>CONCATENATE("     ","Donations                                         ")</f>
        <v xml:space="preserve">     Donations                                         </v>
      </c>
      <c r="C51" s="14"/>
      <c r="D51" s="1">
        <f>SUM(OSRRefD22_6x_0)</f>
        <v>0</v>
      </c>
      <c r="E51" s="1"/>
      <c r="F51" s="5">
        <f t="shared" ref="F51:F67" si="24">IF(D$12=0,0,D51/D$12)</f>
        <v>0</v>
      </c>
      <c r="G51" s="1"/>
      <c r="H51" s="1">
        <f>SUM(OSRRefH22_6x_0)</f>
        <v>10000</v>
      </c>
      <c r="I51" s="1"/>
      <c r="J51" s="5">
        <f t="shared" ref="J51:J67" si="25">IF(H$12=0,0,H51/H$12)</f>
        <v>0</v>
      </c>
      <c r="K51" s="1"/>
      <c r="L51" s="1">
        <f t="shared" ref="L51:L67" si="26">+D51-H51</f>
        <v>-10000</v>
      </c>
      <c r="M51" s="1"/>
      <c r="N51" s="5">
        <f t="shared" ref="N51:N67" si="27">IF(H51=0,0,L51/H51)</f>
        <v>-1</v>
      </c>
      <c r="O51" s="14"/>
      <c r="P51" s="1">
        <f>SUM(OSRRefP22_6x_0)</f>
        <v>0</v>
      </c>
      <c r="Q51" s="1"/>
      <c r="R51" s="5">
        <f t="shared" ref="R51:R67" si="28">IF(P$12=0,0,P51/P$12)</f>
        <v>0</v>
      </c>
      <c r="S51" s="1"/>
      <c r="T51" s="1">
        <f>SUM(OSRRefT22_6x_0)</f>
        <v>37700</v>
      </c>
      <c r="U51" s="1"/>
      <c r="V51" s="5">
        <f t="shared" ref="V51:V67" si="29">IF(T$12=0,0,T51/T$12)</f>
        <v>0</v>
      </c>
      <c r="W51" s="1"/>
      <c r="X51" s="1">
        <f t="shared" ref="X51:X67" si="30">+P51-T51</f>
        <v>-37700</v>
      </c>
      <c r="Y51" s="1"/>
      <c r="Z51" s="5">
        <f t="shared" ref="Z51:Z67" si="31">IF(T51=0,0,X51/T51)</f>
        <v>-1</v>
      </c>
    </row>
    <row r="52" spans="1:26" s="24" customFormat="1" hidden="1" outlineLevel="2" x14ac:dyDescent="0.25">
      <c r="A52" s="29"/>
      <c r="B52" s="11" t="str">
        <f>CONCATENATE("          ", "6399", " - ", "DONATION-ON CAMPUS")</f>
        <v xml:space="preserve">          6399 - DONATION-ON CAMPUS</v>
      </c>
      <c r="C52" s="11"/>
      <c r="D52" s="7"/>
      <c r="E52" s="2"/>
      <c r="F52" s="6">
        <f t="shared" si="24"/>
        <v>0</v>
      </c>
      <c r="G52" s="2"/>
      <c r="H52" s="7">
        <v>10000</v>
      </c>
      <c r="I52" s="2"/>
      <c r="J52" s="6">
        <f t="shared" si="25"/>
        <v>0</v>
      </c>
      <c r="K52" s="2"/>
      <c r="L52" s="7">
        <f t="shared" si="26"/>
        <v>-10000</v>
      </c>
      <c r="M52" s="2"/>
      <c r="N52" s="6">
        <f t="shared" si="27"/>
        <v>-1</v>
      </c>
      <c r="O52" s="11"/>
      <c r="P52" s="7"/>
      <c r="Q52" s="2"/>
      <c r="R52" s="6">
        <f t="shared" si="28"/>
        <v>0</v>
      </c>
      <c r="S52" s="2"/>
      <c r="T52" s="7">
        <v>37700</v>
      </c>
      <c r="U52" s="2"/>
      <c r="V52" s="6">
        <f t="shared" si="29"/>
        <v>0</v>
      </c>
      <c r="W52" s="2"/>
      <c r="X52" s="7">
        <f t="shared" si="30"/>
        <v>-37700</v>
      </c>
      <c r="Y52" s="2"/>
      <c r="Z52" s="6">
        <f t="shared" si="31"/>
        <v>-1</v>
      </c>
    </row>
    <row r="53" spans="1:26" s="28" customFormat="1" outlineLevel="1" collapsed="1" x14ac:dyDescent="0.25">
      <c r="A53" s="27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SUM(OSRRefD22_7x_0)</f>
        <v>0</v>
      </c>
      <c r="E53" s="1"/>
      <c r="F53" s="5">
        <f t="shared" si="24"/>
        <v>0</v>
      </c>
      <c r="G53" s="1"/>
      <c r="H53" s="1">
        <f>SUM(OSRRefH22_7x_0)</f>
        <v>250</v>
      </c>
      <c r="I53" s="1"/>
      <c r="J53" s="5">
        <f t="shared" si="25"/>
        <v>0</v>
      </c>
      <c r="K53" s="1"/>
      <c r="L53" s="1">
        <f t="shared" si="26"/>
        <v>-250</v>
      </c>
      <c r="M53" s="1"/>
      <c r="N53" s="5">
        <f t="shared" si="27"/>
        <v>-1</v>
      </c>
      <c r="O53" s="14"/>
      <c r="P53" s="1">
        <f>SUM(OSRRefP22_7x_0)</f>
        <v>0</v>
      </c>
      <c r="Q53" s="1"/>
      <c r="R53" s="5">
        <f t="shared" si="28"/>
        <v>0</v>
      </c>
      <c r="S53" s="1"/>
      <c r="T53" s="1">
        <f>SUM(OSRRefT22_7x_0)</f>
        <v>1250</v>
      </c>
      <c r="U53" s="1"/>
      <c r="V53" s="5">
        <f t="shared" si="29"/>
        <v>0</v>
      </c>
      <c r="W53" s="1"/>
      <c r="X53" s="1">
        <f t="shared" si="30"/>
        <v>-1250</v>
      </c>
      <c r="Y53" s="1"/>
      <c r="Z53" s="5">
        <f t="shared" si="31"/>
        <v>-1</v>
      </c>
    </row>
    <row r="54" spans="1:26" s="24" customFormat="1" hidden="1" outlineLevel="2" x14ac:dyDescent="0.25">
      <c r="A54" s="29"/>
      <c r="B54" s="11" t="str">
        <f>CONCATENATE("          ", "6277", " - ", "EMPLOYEE APPRECIATION")</f>
        <v xml:space="preserve">          6277 - EMPLOYEE APPRECIATION</v>
      </c>
      <c r="C54" s="11"/>
      <c r="D54" s="7"/>
      <c r="E54" s="2"/>
      <c r="F54" s="6">
        <f t="shared" si="24"/>
        <v>0</v>
      </c>
      <c r="G54" s="2"/>
      <c r="H54" s="7">
        <v>250</v>
      </c>
      <c r="I54" s="2"/>
      <c r="J54" s="6">
        <f t="shared" si="25"/>
        <v>0</v>
      </c>
      <c r="K54" s="2"/>
      <c r="L54" s="7">
        <f t="shared" si="26"/>
        <v>-250</v>
      </c>
      <c r="M54" s="2"/>
      <c r="N54" s="6">
        <f t="shared" si="27"/>
        <v>-1</v>
      </c>
      <c r="O54" s="11"/>
      <c r="P54" s="7"/>
      <c r="Q54" s="2"/>
      <c r="R54" s="6">
        <f t="shared" si="28"/>
        <v>0</v>
      </c>
      <c r="S54" s="2"/>
      <c r="T54" s="7">
        <v>1250</v>
      </c>
      <c r="U54" s="2"/>
      <c r="V54" s="6">
        <f t="shared" si="29"/>
        <v>0</v>
      </c>
      <c r="W54" s="2"/>
      <c r="X54" s="7">
        <f t="shared" si="30"/>
        <v>-1250</v>
      </c>
      <c r="Y54" s="2"/>
      <c r="Z54" s="6">
        <f t="shared" si="31"/>
        <v>-1</v>
      </c>
    </row>
    <row r="55" spans="1:26" s="28" customFormat="1" outlineLevel="1" collapsed="1" x14ac:dyDescent="0.25">
      <c r="A55" s="27"/>
      <c r="B55" s="14" t="str">
        <f>CONCATENATE("     ","Equipment Rental                                  ")</f>
        <v xml:space="preserve">     Equipment Rental                                  </v>
      </c>
      <c r="C55" s="14"/>
      <c r="D55" s="1">
        <f>SUM(OSRRefD22_8x_0)</f>
        <v>208.97</v>
      </c>
      <c r="E55" s="1"/>
      <c r="F55" s="5">
        <f t="shared" si="24"/>
        <v>0</v>
      </c>
      <c r="G55" s="1"/>
      <c r="H55" s="1">
        <f>SUM(OSRRefH22_8x_0)</f>
        <v>284</v>
      </c>
      <c r="I55" s="1"/>
      <c r="J55" s="5">
        <f t="shared" si="25"/>
        <v>0</v>
      </c>
      <c r="K55" s="1"/>
      <c r="L55" s="1">
        <f t="shared" si="26"/>
        <v>-75.03</v>
      </c>
      <c r="M55" s="1"/>
      <c r="N55" s="5">
        <f t="shared" si="27"/>
        <v>-0.26419014084507042</v>
      </c>
      <c r="O55" s="14"/>
      <c r="P55" s="1">
        <f>SUM(OSRRefP22_8x_0)</f>
        <v>626.91</v>
      </c>
      <c r="Q55" s="1"/>
      <c r="R55" s="5">
        <f t="shared" si="28"/>
        <v>0</v>
      </c>
      <c r="S55" s="1"/>
      <c r="T55" s="1">
        <f>SUM(OSRRefT22_8x_0)</f>
        <v>852</v>
      </c>
      <c r="U55" s="1"/>
      <c r="V55" s="5">
        <f t="shared" si="29"/>
        <v>0</v>
      </c>
      <c r="W55" s="1"/>
      <c r="X55" s="1">
        <f t="shared" si="30"/>
        <v>-225.09000000000003</v>
      </c>
      <c r="Y55" s="1"/>
      <c r="Z55" s="5">
        <f t="shared" si="31"/>
        <v>-0.26419014084507048</v>
      </c>
    </row>
    <row r="56" spans="1:26" s="24" customFormat="1" hidden="1" outlineLevel="2" x14ac:dyDescent="0.25">
      <c r="A56" s="29"/>
      <c r="B56" s="11" t="str">
        <f>CONCATENATE("          ", "6351", " - ", "EQUIPMENT RENTAL")</f>
        <v xml:space="preserve">          6351 - EQUIPMENT RENTAL</v>
      </c>
      <c r="C56" s="11"/>
      <c r="D56" s="7">
        <v>208.97</v>
      </c>
      <c r="E56" s="2"/>
      <c r="F56" s="6">
        <f t="shared" si="24"/>
        <v>0</v>
      </c>
      <c r="G56" s="2"/>
      <c r="H56" s="7">
        <v>284</v>
      </c>
      <c r="I56" s="2"/>
      <c r="J56" s="6">
        <f t="shared" si="25"/>
        <v>0</v>
      </c>
      <c r="K56" s="2"/>
      <c r="L56" s="7">
        <f t="shared" si="26"/>
        <v>-75.03</v>
      </c>
      <c r="M56" s="2"/>
      <c r="N56" s="6">
        <f t="shared" si="27"/>
        <v>-0.26419014084507042</v>
      </c>
      <c r="O56" s="11"/>
      <c r="P56" s="7">
        <v>626.91</v>
      </c>
      <c r="Q56" s="2"/>
      <c r="R56" s="6">
        <f t="shared" si="28"/>
        <v>0</v>
      </c>
      <c r="S56" s="2"/>
      <c r="T56" s="7">
        <v>852</v>
      </c>
      <c r="U56" s="2"/>
      <c r="V56" s="6">
        <f t="shared" si="29"/>
        <v>0</v>
      </c>
      <c r="W56" s="2"/>
      <c r="X56" s="7">
        <f t="shared" si="30"/>
        <v>-225.09000000000003</v>
      </c>
      <c r="Y56" s="2"/>
      <c r="Z56" s="6">
        <f t="shared" si="31"/>
        <v>-0.26419014084507048</v>
      </c>
    </row>
    <row r="57" spans="1:26" s="28" customFormat="1" outlineLevel="1" collapsed="1" x14ac:dyDescent="0.25">
      <c r="A57" s="27"/>
      <c r="B57" s="14" t="str">
        <f>CONCATENATE("     ","Freight out/Postage                               ")</f>
        <v xml:space="preserve">     Freight out/Postage                               </v>
      </c>
      <c r="C57" s="14"/>
      <c r="D57" s="1">
        <f>SUM(OSRRefD22_9x_0)</f>
        <v>228.65</v>
      </c>
      <c r="E57" s="1"/>
      <c r="F57" s="5">
        <f t="shared" si="24"/>
        <v>0</v>
      </c>
      <c r="G57" s="1"/>
      <c r="H57" s="1">
        <f>SUM(OSRRefH22_9x_0)</f>
        <v>200</v>
      </c>
      <c r="I57" s="1"/>
      <c r="J57" s="5">
        <f t="shared" si="25"/>
        <v>0</v>
      </c>
      <c r="K57" s="1"/>
      <c r="L57" s="1">
        <f t="shared" si="26"/>
        <v>28.650000000000006</v>
      </c>
      <c r="M57" s="1"/>
      <c r="N57" s="5">
        <f t="shared" si="27"/>
        <v>0.14325000000000002</v>
      </c>
      <c r="O57" s="14"/>
      <c r="P57" s="1">
        <f>SUM(OSRRefP22_9x_0)</f>
        <v>514.54</v>
      </c>
      <c r="Q57" s="1"/>
      <c r="R57" s="5">
        <f t="shared" si="28"/>
        <v>0</v>
      </c>
      <c r="S57" s="1"/>
      <c r="T57" s="1">
        <f>SUM(OSRRefT22_9x_0)</f>
        <v>450</v>
      </c>
      <c r="U57" s="1"/>
      <c r="V57" s="5">
        <f t="shared" si="29"/>
        <v>0</v>
      </c>
      <c r="W57" s="1"/>
      <c r="X57" s="1">
        <f t="shared" si="30"/>
        <v>64.539999999999964</v>
      </c>
      <c r="Y57" s="1"/>
      <c r="Z57" s="5">
        <f t="shared" si="31"/>
        <v>0.14342222222222215</v>
      </c>
    </row>
    <row r="58" spans="1:26" s="24" customFormat="1" hidden="1" outlineLevel="2" x14ac:dyDescent="0.25">
      <c r="A58" s="29"/>
      <c r="B58" s="11" t="str">
        <f>CONCATENATE("          ", "6307", " - ", "POSTAGE")</f>
        <v xml:space="preserve">          6307 - POSTAGE</v>
      </c>
      <c r="C58" s="11"/>
      <c r="D58" s="7">
        <v>228.65</v>
      </c>
      <c r="E58" s="2"/>
      <c r="F58" s="6">
        <f t="shared" si="24"/>
        <v>0</v>
      </c>
      <c r="G58" s="2"/>
      <c r="H58" s="7">
        <v>200</v>
      </c>
      <c r="I58" s="2"/>
      <c r="J58" s="6">
        <f t="shared" si="25"/>
        <v>0</v>
      </c>
      <c r="K58" s="2"/>
      <c r="L58" s="7">
        <f t="shared" si="26"/>
        <v>28.650000000000006</v>
      </c>
      <c r="M58" s="2"/>
      <c r="N58" s="6">
        <f t="shared" si="27"/>
        <v>0.14325000000000002</v>
      </c>
      <c r="O58" s="11"/>
      <c r="P58" s="7">
        <v>514.54</v>
      </c>
      <c r="Q58" s="2"/>
      <c r="R58" s="6">
        <f t="shared" si="28"/>
        <v>0</v>
      </c>
      <c r="S58" s="2"/>
      <c r="T58" s="7">
        <v>450</v>
      </c>
      <c r="U58" s="2"/>
      <c r="V58" s="6">
        <f t="shared" si="29"/>
        <v>0</v>
      </c>
      <c r="W58" s="2"/>
      <c r="X58" s="7">
        <f t="shared" si="30"/>
        <v>64.539999999999964</v>
      </c>
      <c r="Y58" s="2"/>
      <c r="Z58" s="6">
        <f t="shared" si="31"/>
        <v>0.14342222222222215</v>
      </c>
    </row>
    <row r="59" spans="1:26" s="28" customFormat="1" outlineLevel="1" collapsed="1" x14ac:dyDescent="0.25">
      <c r="A59" s="27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SUM(OSRRefD22_10x_0)</f>
        <v>890.75</v>
      </c>
      <c r="E59" s="1"/>
      <c r="F59" s="5">
        <f t="shared" si="24"/>
        <v>0</v>
      </c>
      <c r="G59" s="1"/>
      <c r="H59" s="1">
        <f>SUM(OSRRefH22_10x_0)</f>
        <v>-150</v>
      </c>
      <c r="I59" s="1"/>
      <c r="J59" s="5">
        <f t="shared" si="25"/>
        <v>0</v>
      </c>
      <c r="K59" s="1"/>
      <c r="L59" s="1">
        <f t="shared" si="26"/>
        <v>1040.75</v>
      </c>
      <c r="M59" s="1"/>
      <c r="N59" s="5">
        <f t="shared" si="27"/>
        <v>-6.9383333333333335</v>
      </c>
      <c r="O59" s="14"/>
      <c r="P59" s="1">
        <f>SUM(OSRRefP22_10x_0)</f>
        <v>2120.75</v>
      </c>
      <c r="Q59" s="1"/>
      <c r="R59" s="5">
        <f t="shared" si="28"/>
        <v>0</v>
      </c>
      <c r="S59" s="1"/>
      <c r="T59" s="1">
        <f>SUM(OSRRefT22_10x_0)</f>
        <v>-150</v>
      </c>
      <c r="U59" s="1"/>
      <c r="V59" s="5">
        <f t="shared" si="29"/>
        <v>0</v>
      </c>
      <c r="W59" s="1"/>
      <c r="X59" s="1">
        <f t="shared" si="30"/>
        <v>2270.75</v>
      </c>
      <c r="Y59" s="1"/>
      <c r="Z59" s="5">
        <f t="shared" si="31"/>
        <v>-15.138333333333334</v>
      </c>
    </row>
    <row r="60" spans="1:26" s="24" customFormat="1" hidden="1" outlineLevel="2" x14ac:dyDescent="0.25">
      <c r="A60" s="29"/>
      <c r="B60" s="11" t="str">
        <f>CONCATENATE("          ", "6279", " - ", "GENERAL EXPENSE")</f>
        <v xml:space="preserve">          6279 - GENERAL EXPENSE</v>
      </c>
      <c r="C60" s="11"/>
      <c r="D60" s="7">
        <v>890.75</v>
      </c>
      <c r="E60" s="2"/>
      <c r="F60" s="6">
        <f t="shared" si="24"/>
        <v>0</v>
      </c>
      <c r="G60" s="2"/>
      <c r="H60" s="7">
        <v>-150</v>
      </c>
      <c r="I60" s="2"/>
      <c r="J60" s="6">
        <f t="shared" si="25"/>
        <v>0</v>
      </c>
      <c r="K60" s="2"/>
      <c r="L60" s="7">
        <f t="shared" si="26"/>
        <v>1040.75</v>
      </c>
      <c r="M60" s="2"/>
      <c r="N60" s="6">
        <f t="shared" si="27"/>
        <v>-6.9383333333333335</v>
      </c>
      <c r="O60" s="11"/>
      <c r="P60" s="7">
        <v>2120.75</v>
      </c>
      <c r="Q60" s="2"/>
      <c r="R60" s="6">
        <f t="shared" si="28"/>
        <v>0</v>
      </c>
      <c r="S60" s="2"/>
      <c r="T60" s="7">
        <v>-150</v>
      </c>
      <c r="U60" s="2"/>
      <c r="V60" s="6">
        <f t="shared" si="29"/>
        <v>0</v>
      </c>
      <c r="W60" s="2"/>
      <c r="X60" s="7">
        <f t="shared" si="30"/>
        <v>2270.75</v>
      </c>
      <c r="Y60" s="2"/>
      <c r="Z60" s="6">
        <f t="shared" si="31"/>
        <v>-15.138333333333334</v>
      </c>
    </row>
    <row r="61" spans="1:26" s="28" customFormat="1" outlineLevel="1" collapsed="1" x14ac:dyDescent="0.25">
      <c r="A61" s="27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SUM(OSRRefD22_11x_0)</f>
        <v>535.05999999999995</v>
      </c>
      <c r="E61" s="1"/>
      <c r="F61" s="5">
        <f t="shared" si="24"/>
        <v>0</v>
      </c>
      <c r="G61" s="1"/>
      <c r="H61" s="1">
        <f>SUM(OSRRefH22_11x_0)</f>
        <v>530</v>
      </c>
      <c r="I61" s="1"/>
      <c r="J61" s="5">
        <f t="shared" si="25"/>
        <v>0</v>
      </c>
      <c r="K61" s="1"/>
      <c r="L61" s="1">
        <f t="shared" si="26"/>
        <v>5.0599999999999454</v>
      </c>
      <c r="M61" s="1"/>
      <c r="N61" s="5">
        <f t="shared" si="27"/>
        <v>9.5471698113206525E-3</v>
      </c>
      <c r="O61" s="14"/>
      <c r="P61" s="1">
        <f>SUM(OSRRefP22_11x_0)</f>
        <v>1605.18</v>
      </c>
      <c r="Q61" s="1"/>
      <c r="R61" s="5">
        <f t="shared" si="28"/>
        <v>0</v>
      </c>
      <c r="S61" s="1"/>
      <c r="T61" s="1">
        <f>SUM(OSRRefT22_11x_0)</f>
        <v>1590</v>
      </c>
      <c r="U61" s="1"/>
      <c r="V61" s="5">
        <f t="shared" si="29"/>
        <v>0</v>
      </c>
      <c r="W61" s="1"/>
      <c r="X61" s="1">
        <f t="shared" si="30"/>
        <v>15.180000000000064</v>
      </c>
      <c r="Y61" s="1"/>
      <c r="Z61" s="5">
        <f t="shared" si="31"/>
        <v>9.5471698113207947E-3</v>
      </c>
    </row>
    <row r="62" spans="1:26" s="24" customFormat="1" hidden="1" outlineLevel="2" x14ac:dyDescent="0.25">
      <c r="A62" s="29"/>
      <c r="B62" s="11" t="str">
        <f>CONCATENATE("          ", "6314", " - ", "LIABILITY INSURANCE")</f>
        <v xml:space="preserve">          6314 - LIABILITY INSURANCE</v>
      </c>
      <c r="C62" s="11"/>
      <c r="D62" s="7">
        <v>535.05999999999995</v>
      </c>
      <c r="E62" s="2"/>
      <c r="F62" s="6">
        <f t="shared" si="24"/>
        <v>0</v>
      </c>
      <c r="G62" s="2"/>
      <c r="H62" s="7">
        <v>530</v>
      </c>
      <c r="I62" s="2"/>
      <c r="J62" s="6">
        <f t="shared" si="25"/>
        <v>0</v>
      </c>
      <c r="K62" s="2"/>
      <c r="L62" s="7">
        <f t="shared" si="26"/>
        <v>5.0599999999999454</v>
      </c>
      <c r="M62" s="2"/>
      <c r="N62" s="6">
        <f t="shared" si="27"/>
        <v>9.5471698113206525E-3</v>
      </c>
      <c r="O62" s="11"/>
      <c r="P62" s="7">
        <v>1605.18</v>
      </c>
      <c r="Q62" s="2"/>
      <c r="R62" s="6">
        <f t="shared" si="28"/>
        <v>0</v>
      </c>
      <c r="S62" s="2"/>
      <c r="T62" s="7">
        <v>1590</v>
      </c>
      <c r="U62" s="2"/>
      <c r="V62" s="6">
        <f t="shared" si="29"/>
        <v>0</v>
      </c>
      <c r="W62" s="2"/>
      <c r="X62" s="7">
        <f t="shared" si="30"/>
        <v>15.180000000000064</v>
      </c>
      <c r="Y62" s="2"/>
      <c r="Z62" s="6">
        <f t="shared" si="31"/>
        <v>9.5471698113207947E-3</v>
      </c>
    </row>
    <row r="63" spans="1:26" s="28" customFormat="1" outlineLevel="1" collapsed="1" x14ac:dyDescent="0.25">
      <c r="A63" s="27"/>
      <c r="B63" s="14" t="str">
        <f>CONCATENATE("     ","Professional Services                             ")</f>
        <v xml:space="preserve">     Professional Services                             </v>
      </c>
      <c r="C63" s="14"/>
      <c r="D63" s="1">
        <f>SUM(OSRRefD22_12x_0)</f>
        <v>17753.849999999999</v>
      </c>
      <c r="E63" s="1"/>
      <c r="F63" s="5">
        <f t="shared" si="24"/>
        <v>0</v>
      </c>
      <c r="G63" s="1"/>
      <c r="H63" s="1">
        <f>SUM(OSRRefH22_12x_0)</f>
        <v>14666</v>
      </c>
      <c r="I63" s="1"/>
      <c r="J63" s="5">
        <f t="shared" si="25"/>
        <v>0</v>
      </c>
      <c r="K63" s="1"/>
      <c r="L63" s="1">
        <f t="shared" si="26"/>
        <v>3087.8499999999985</v>
      </c>
      <c r="M63" s="1"/>
      <c r="N63" s="5">
        <f t="shared" si="27"/>
        <v>0.21054479749079494</v>
      </c>
      <c r="O63" s="14"/>
      <c r="P63" s="1">
        <f>SUM(OSRRefP22_12x_0)</f>
        <v>33041.599999999999</v>
      </c>
      <c r="Q63" s="1"/>
      <c r="R63" s="5">
        <f t="shared" si="28"/>
        <v>0</v>
      </c>
      <c r="S63" s="1"/>
      <c r="T63" s="1">
        <f>SUM(OSRRefT22_12x_0)</f>
        <v>33998</v>
      </c>
      <c r="U63" s="1"/>
      <c r="V63" s="5">
        <f t="shared" si="29"/>
        <v>0</v>
      </c>
      <c r="W63" s="1"/>
      <c r="X63" s="1">
        <f t="shared" si="30"/>
        <v>-956.40000000000146</v>
      </c>
      <c r="Y63" s="1"/>
      <c r="Z63" s="5">
        <f t="shared" si="31"/>
        <v>-2.8131066533325533E-2</v>
      </c>
    </row>
    <row r="64" spans="1:26" s="24" customFormat="1" hidden="1" outlineLevel="2" x14ac:dyDescent="0.25">
      <c r="A64" s="29"/>
      <c r="B64" s="11" t="str">
        <f>CONCATENATE("          ", "6331", " - ", "INDIRECT COSTS-AUXILIARY ORGAN")</f>
        <v xml:space="preserve">          6331 - INDIRECT COSTS-AUXILIARY ORGAN</v>
      </c>
      <c r="C64" s="11"/>
      <c r="D64" s="7">
        <v>16500</v>
      </c>
      <c r="E64" s="2"/>
      <c r="F64" s="6">
        <f t="shared" si="24"/>
        <v>0</v>
      </c>
      <c r="G64" s="2"/>
      <c r="H64" s="7">
        <v>12000</v>
      </c>
      <c r="I64" s="2"/>
      <c r="J64" s="6">
        <f t="shared" si="25"/>
        <v>0</v>
      </c>
      <c r="K64" s="2"/>
      <c r="L64" s="7">
        <f t="shared" si="26"/>
        <v>4500</v>
      </c>
      <c r="M64" s="2"/>
      <c r="N64" s="6">
        <f t="shared" si="27"/>
        <v>0.375</v>
      </c>
      <c r="O64" s="11"/>
      <c r="P64" s="7">
        <v>26837.75</v>
      </c>
      <c r="Q64" s="2"/>
      <c r="R64" s="6">
        <f t="shared" si="28"/>
        <v>0</v>
      </c>
      <c r="S64" s="2"/>
      <c r="T64" s="7">
        <v>25000</v>
      </c>
      <c r="U64" s="2"/>
      <c r="V64" s="6">
        <f t="shared" si="29"/>
        <v>0</v>
      </c>
      <c r="W64" s="2"/>
      <c r="X64" s="7">
        <f t="shared" si="30"/>
        <v>1837.75</v>
      </c>
      <c r="Y64" s="2"/>
      <c r="Z64" s="6">
        <f t="shared" si="31"/>
        <v>7.3510000000000006E-2</v>
      </c>
    </row>
    <row r="65" spans="1:26" s="24" customFormat="1" hidden="1" outlineLevel="2" x14ac:dyDescent="0.25">
      <c r="A65" s="29"/>
      <c r="B65" s="11" t="str">
        <f>CONCATENATE("          ", "6332", " - ", "CONSULTANT FEES")</f>
        <v xml:space="preserve">          6332 - CONSULTANT FEES</v>
      </c>
      <c r="C65" s="11"/>
      <c r="D65" s="7"/>
      <c r="E65" s="2"/>
      <c r="F65" s="6">
        <f t="shared" si="24"/>
        <v>0</v>
      </c>
      <c r="G65" s="2"/>
      <c r="H65" s="7">
        <v>0</v>
      </c>
      <c r="I65" s="2"/>
      <c r="J65" s="6">
        <f t="shared" si="25"/>
        <v>0</v>
      </c>
      <c r="K65" s="2"/>
      <c r="L65" s="7">
        <f t="shared" si="26"/>
        <v>0</v>
      </c>
      <c r="M65" s="2"/>
      <c r="N65" s="6">
        <f t="shared" si="27"/>
        <v>0</v>
      </c>
      <c r="O65" s="11"/>
      <c r="P65" s="7"/>
      <c r="Q65" s="2"/>
      <c r="R65" s="6">
        <f t="shared" si="28"/>
        <v>0</v>
      </c>
      <c r="S65" s="2"/>
      <c r="T65" s="7">
        <v>3000</v>
      </c>
      <c r="U65" s="2"/>
      <c r="V65" s="6">
        <f t="shared" si="29"/>
        <v>0</v>
      </c>
      <c r="W65" s="2"/>
      <c r="X65" s="7">
        <f t="shared" si="30"/>
        <v>-3000</v>
      </c>
      <c r="Y65" s="2"/>
      <c r="Z65" s="6">
        <f t="shared" si="31"/>
        <v>-1</v>
      </c>
    </row>
    <row r="66" spans="1:26" s="24" customFormat="1" hidden="1" outlineLevel="2" x14ac:dyDescent="0.25">
      <c r="A66" s="29"/>
      <c r="B66" s="11" t="str">
        <f>CONCATENATE("          ", "6334", " - ", "LEGAL COUNCIL EXPENSE")</f>
        <v xml:space="preserve">          6334 - LEGAL COUNCIL EXPENSE</v>
      </c>
      <c r="C66" s="11"/>
      <c r="D66" s="7"/>
      <c r="E66" s="2"/>
      <c r="F66" s="6">
        <f t="shared" si="24"/>
        <v>0</v>
      </c>
      <c r="G66" s="2"/>
      <c r="H66" s="7">
        <v>1833</v>
      </c>
      <c r="I66" s="2"/>
      <c r="J66" s="6">
        <f t="shared" si="25"/>
        <v>0</v>
      </c>
      <c r="K66" s="2"/>
      <c r="L66" s="7">
        <f t="shared" si="26"/>
        <v>-1833</v>
      </c>
      <c r="M66" s="2"/>
      <c r="N66" s="6">
        <f t="shared" si="27"/>
        <v>-1</v>
      </c>
      <c r="O66" s="11"/>
      <c r="P66" s="7">
        <v>3255</v>
      </c>
      <c r="Q66" s="2"/>
      <c r="R66" s="6">
        <f t="shared" si="28"/>
        <v>0</v>
      </c>
      <c r="S66" s="2"/>
      <c r="T66" s="7">
        <v>3499</v>
      </c>
      <c r="U66" s="2"/>
      <c r="V66" s="6">
        <f t="shared" si="29"/>
        <v>0</v>
      </c>
      <c r="W66" s="2"/>
      <c r="X66" s="7">
        <f t="shared" si="30"/>
        <v>-244</v>
      </c>
      <c r="Y66" s="2"/>
      <c r="Z66" s="6">
        <f t="shared" si="31"/>
        <v>-6.9734209774221206E-2</v>
      </c>
    </row>
    <row r="67" spans="1:26" s="24" customFormat="1" hidden="1" outlineLevel="2" x14ac:dyDescent="0.25">
      <c r="A67" s="29"/>
      <c r="B67" s="11" t="str">
        <f>CONCATENATE("          ", "6336", " - ", "PROFESSIONAL SERVICES")</f>
        <v xml:space="preserve">          6336 - PROFESSIONAL SERVICES</v>
      </c>
      <c r="C67" s="11"/>
      <c r="D67" s="7">
        <v>1253.8499999999999</v>
      </c>
      <c r="E67" s="2"/>
      <c r="F67" s="6">
        <f t="shared" si="24"/>
        <v>0</v>
      </c>
      <c r="G67" s="2"/>
      <c r="H67" s="7">
        <v>833</v>
      </c>
      <c r="I67" s="2"/>
      <c r="J67" s="6">
        <f t="shared" si="25"/>
        <v>0</v>
      </c>
      <c r="K67" s="2"/>
      <c r="L67" s="7">
        <f t="shared" si="26"/>
        <v>420.84999999999991</v>
      </c>
      <c r="M67" s="2"/>
      <c r="N67" s="6">
        <f t="shared" si="27"/>
        <v>0.5052220888355341</v>
      </c>
      <c r="O67" s="11"/>
      <c r="P67" s="7">
        <v>2948.85</v>
      </c>
      <c r="Q67" s="2"/>
      <c r="R67" s="6">
        <f t="shared" si="28"/>
        <v>0</v>
      </c>
      <c r="S67" s="2"/>
      <c r="T67" s="7">
        <v>2499</v>
      </c>
      <c r="U67" s="2"/>
      <c r="V67" s="6">
        <f t="shared" si="29"/>
        <v>0</v>
      </c>
      <c r="W67" s="2"/>
      <c r="X67" s="7">
        <f t="shared" si="30"/>
        <v>449.84999999999991</v>
      </c>
      <c r="Y67" s="2"/>
      <c r="Z67" s="6">
        <f t="shared" si="31"/>
        <v>0.18001200480192073</v>
      </c>
    </row>
    <row r="68" spans="1:26" s="28" customFormat="1" outlineLevel="1" collapsed="1" x14ac:dyDescent="0.25">
      <c r="A68" s="27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SUM(OSRRefD22_13x_0)</f>
        <v>15329.43</v>
      </c>
      <c r="E68" s="1"/>
      <c r="F68" s="5">
        <f t="shared" ref="F68:F72" si="32">IF(D$12=0,0,D68/D$12)</f>
        <v>0</v>
      </c>
      <c r="G68" s="1"/>
      <c r="H68" s="1">
        <f>SUM(OSRRefH22_13x_0)</f>
        <v>22307</v>
      </c>
      <c r="I68" s="1"/>
      <c r="J68" s="5">
        <f t="shared" ref="J68:J72" si="33">IF(H$12=0,0,H68/H$12)</f>
        <v>0</v>
      </c>
      <c r="K68" s="1"/>
      <c r="L68" s="1">
        <f t="shared" ref="L68:L72" si="34">+D68-H68</f>
        <v>-6977.57</v>
      </c>
      <c r="M68" s="1"/>
      <c r="N68" s="5">
        <f t="shared" ref="N68:N72" si="35">IF(H68=0,0,L68/H68)</f>
        <v>-0.31279732819294392</v>
      </c>
      <c r="O68" s="14"/>
      <c r="P68" s="1">
        <f>SUM(OSRRefP22_13x_0)</f>
        <v>51273.110000000008</v>
      </c>
      <c r="Q68" s="1"/>
      <c r="R68" s="5">
        <f t="shared" ref="R68:R72" si="36">IF(P$12=0,0,P68/P$12)</f>
        <v>0</v>
      </c>
      <c r="S68" s="1"/>
      <c r="T68" s="1">
        <f>SUM(OSRRefT22_13x_0)</f>
        <v>68521</v>
      </c>
      <c r="U68" s="1"/>
      <c r="V68" s="5">
        <f t="shared" ref="V68:V72" si="37">IF(T$12=0,0,T68/T$12)</f>
        <v>0</v>
      </c>
      <c r="W68" s="1"/>
      <c r="X68" s="1">
        <f t="shared" ref="X68:X72" si="38">+P68-T68</f>
        <v>-17247.889999999992</v>
      </c>
      <c r="Y68" s="1"/>
      <c r="Z68" s="5">
        <f t="shared" ref="Z68:Z72" si="39">IF(T68=0,0,X68/T68)</f>
        <v>-0.25171684593044458</v>
      </c>
    </row>
    <row r="69" spans="1:26" s="24" customFormat="1" hidden="1" outlineLevel="2" x14ac:dyDescent="0.25">
      <c r="A69" s="29"/>
      <c r="B69" s="11" t="str">
        <f>CONCATENATE("          ", "6371", " - ", "COMPUTER SOFTWARE MAINTENANCE")</f>
        <v xml:space="preserve">          6371 - COMPUTER SOFTWARE MAINTENANCE</v>
      </c>
      <c r="C69" s="11"/>
      <c r="D69" s="7">
        <v>4894.6899999999996</v>
      </c>
      <c r="E69" s="2"/>
      <c r="F69" s="6">
        <f t="shared" si="32"/>
        <v>0</v>
      </c>
      <c r="G69" s="2"/>
      <c r="H69" s="7">
        <v>9600</v>
      </c>
      <c r="I69" s="2"/>
      <c r="J69" s="6">
        <f t="shared" si="33"/>
        <v>0</v>
      </c>
      <c r="K69" s="2"/>
      <c r="L69" s="7">
        <f t="shared" si="34"/>
        <v>-4705.3100000000004</v>
      </c>
      <c r="M69" s="2"/>
      <c r="N69" s="6">
        <f t="shared" si="35"/>
        <v>-0.49013645833333336</v>
      </c>
      <c r="O69" s="11"/>
      <c r="P69" s="7">
        <v>15473.45</v>
      </c>
      <c r="Q69" s="2"/>
      <c r="R69" s="6">
        <f t="shared" si="36"/>
        <v>0</v>
      </c>
      <c r="S69" s="2"/>
      <c r="T69" s="7">
        <v>28800</v>
      </c>
      <c r="U69" s="2"/>
      <c r="V69" s="6">
        <f t="shared" si="37"/>
        <v>0</v>
      </c>
      <c r="W69" s="2"/>
      <c r="X69" s="7">
        <f t="shared" si="38"/>
        <v>-13326.55</v>
      </c>
      <c r="Y69" s="2"/>
      <c r="Z69" s="6">
        <f t="shared" si="39"/>
        <v>-0.46272743055555554</v>
      </c>
    </row>
    <row r="70" spans="1:26" s="24" customFormat="1" hidden="1" outlineLevel="2" x14ac:dyDescent="0.25">
      <c r="A70" s="29"/>
      <c r="B70" s="11" t="str">
        <f>CONCATENATE("          ", "6372", " - ", "COMPUTER HARDWARE MAINTENANCE")</f>
        <v xml:space="preserve">          6372 - COMPUTER HARDWARE MAINTENANCE</v>
      </c>
      <c r="C70" s="11"/>
      <c r="D70" s="7"/>
      <c r="E70" s="2"/>
      <c r="F70" s="6">
        <f t="shared" si="32"/>
        <v>0</v>
      </c>
      <c r="G70" s="2"/>
      <c r="H70" s="7">
        <v>0</v>
      </c>
      <c r="I70" s="2"/>
      <c r="J70" s="6">
        <f t="shared" si="33"/>
        <v>0</v>
      </c>
      <c r="K70" s="2"/>
      <c r="L70" s="7">
        <f t="shared" si="34"/>
        <v>0</v>
      </c>
      <c r="M70" s="2"/>
      <c r="N70" s="6">
        <f t="shared" si="35"/>
        <v>0</v>
      </c>
      <c r="O70" s="11"/>
      <c r="P70" s="7"/>
      <c r="Q70" s="2"/>
      <c r="R70" s="6">
        <f t="shared" si="36"/>
        <v>0</v>
      </c>
      <c r="S70" s="2"/>
      <c r="T70" s="7">
        <v>3000</v>
      </c>
      <c r="U70" s="2"/>
      <c r="V70" s="6">
        <f t="shared" si="37"/>
        <v>0</v>
      </c>
      <c r="W70" s="2"/>
      <c r="X70" s="7">
        <f t="shared" si="38"/>
        <v>-3000</v>
      </c>
      <c r="Y70" s="2"/>
      <c r="Z70" s="6">
        <f t="shared" si="39"/>
        <v>-1</v>
      </c>
    </row>
    <row r="71" spans="1:26" s="24" customFormat="1" hidden="1" outlineLevel="2" x14ac:dyDescent="0.25">
      <c r="A71" s="29"/>
      <c r="B71" s="11" t="str">
        <f>CONCATENATE("          ", "6373", " - ", "MAINTENANCE CONTRACTS")</f>
        <v xml:space="preserve">          6373 - MAINTENANCE CONTRACTS</v>
      </c>
      <c r="C71" s="11"/>
      <c r="D71" s="7">
        <v>10434.74</v>
      </c>
      <c r="E71" s="2"/>
      <c r="F71" s="6">
        <f t="shared" si="32"/>
        <v>0</v>
      </c>
      <c r="G71" s="2"/>
      <c r="H71" s="7">
        <v>12557</v>
      </c>
      <c r="I71" s="2"/>
      <c r="J71" s="6">
        <f t="shared" si="33"/>
        <v>0</v>
      </c>
      <c r="K71" s="2"/>
      <c r="L71" s="7">
        <f t="shared" si="34"/>
        <v>-2122.2600000000002</v>
      </c>
      <c r="M71" s="2"/>
      <c r="N71" s="6">
        <f t="shared" si="35"/>
        <v>-0.169010113880704</v>
      </c>
      <c r="O71" s="11"/>
      <c r="P71" s="7">
        <v>34033.230000000003</v>
      </c>
      <c r="Q71" s="2"/>
      <c r="R71" s="6">
        <f t="shared" si="36"/>
        <v>0</v>
      </c>
      <c r="S71" s="2"/>
      <c r="T71" s="7">
        <v>36271</v>
      </c>
      <c r="U71" s="2"/>
      <c r="V71" s="6">
        <f t="shared" si="37"/>
        <v>0</v>
      </c>
      <c r="W71" s="2"/>
      <c r="X71" s="7">
        <f t="shared" si="38"/>
        <v>-2237.7699999999968</v>
      </c>
      <c r="Y71" s="2"/>
      <c r="Z71" s="6">
        <f t="shared" si="39"/>
        <v>-6.1695845165559177E-2</v>
      </c>
    </row>
    <row r="72" spans="1:26" s="24" customFormat="1" hidden="1" outlineLevel="2" x14ac:dyDescent="0.25">
      <c r="A72" s="29"/>
      <c r="B72" s="11" t="str">
        <f>CONCATENATE("          ", "6375", " - ", "OUTSIDE REPAIRS &amp; MAINTENANCE")</f>
        <v xml:space="preserve">          6375 - OUTSIDE REPAIRS &amp; MAINTENANCE</v>
      </c>
      <c r="C72" s="11"/>
      <c r="D72" s="7"/>
      <c r="E72" s="2"/>
      <c r="F72" s="6">
        <f t="shared" si="32"/>
        <v>0</v>
      </c>
      <c r="G72" s="2"/>
      <c r="H72" s="7">
        <v>150</v>
      </c>
      <c r="I72" s="2"/>
      <c r="J72" s="6">
        <f t="shared" si="33"/>
        <v>0</v>
      </c>
      <c r="K72" s="2"/>
      <c r="L72" s="7">
        <f t="shared" si="34"/>
        <v>-150</v>
      </c>
      <c r="M72" s="2"/>
      <c r="N72" s="6">
        <f t="shared" si="35"/>
        <v>-1</v>
      </c>
      <c r="O72" s="11"/>
      <c r="P72" s="7">
        <v>1766.43</v>
      </c>
      <c r="Q72" s="2"/>
      <c r="R72" s="6">
        <f t="shared" si="36"/>
        <v>0</v>
      </c>
      <c r="S72" s="2"/>
      <c r="T72" s="7">
        <v>450</v>
      </c>
      <c r="U72" s="2"/>
      <c r="V72" s="6">
        <f t="shared" si="37"/>
        <v>0</v>
      </c>
      <c r="W72" s="2"/>
      <c r="X72" s="7">
        <f t="shared" si="38"/>
        <v>1316.43</v>
      </c>
      <c r="Y72" s="2"/>
      <c r="Z72" s="6">
        <f t="shared" si="39"/>
        <v>2.9254000000000002</v>
      </c>
    </row>
    <row r="73" spans="1:26" s="28" customFormat="1" outlineLevel="1" collapsed="1" x14ac:dyDescent="0.25">
      <c r="A73" s="27"/>
      <c r="B73" s="14" t="str">
        <f>CONCATENATE("     ","Services                                          ")</f>
        <v xml:space="preserve">     Services                                          </v>
      </c>
      <c r="C73" s="14"/>
      <c r="D73" s="1">
        <f>SUM(OSRRefD22_14x_0)</f>
        <v>657.38</v>
      </c>
      <c r="E73" s="1"/>
      <c r="F73" s="5">
        <f t="shared" ref="F73:F75" si="40">IF(D$12=0,0,D73/D$12)</f>
        <v>0</v>
      </c>
      <c r="G73" s="1"/>
      <c r="H73" s="1">
        <f>SUM(OSRRefH22_14x_0)</f>
        <v>650</v>
      </c>
      <c r="I73" s="1"/>
      <c r="J73" s="5">
        <f t="shared" ref="J73:J75" si="41">IF(H$12=0,0,H73/H$12)</f>
        <v>0</v>
      </c>
      <c r="K73" s="1"/>
      <c r="L73" s="1">
        <f t="shared" ref="L73:L75" si="42">+D73-H73</f>
        <v>7.3799999999999955</v>
      </c>
      <c r="M73" s="1"/>
      <c r="N73" s="5">
        <f t="shared" ref="N73:N75" si="43">IF(H73=0,0,L73/H73)</f>
        <v>1.1353846153846147E-2</v>
      </c>
      <c r="O73" s="14"/>
      <c r="P73" s="1">
        <f>SUM(OSRRefP22_14x_0)</f>
        <v>2025.27</v>
      </c>
      <c r="Q73" s="1"/>
      <c r="R73" s="5">
        <f t="shared" ref="R73:R75" si="44">IF(P$12=0,0,P73/P$12)</f>
        <v>0</v>
      </c>
      <c r="S73" s="1"/>
      <c r="T73" s="1">
        <f>SUM(OSRRefT22_14x_0)</f>
        <v>1950</v>
      </c>
      <c r="U73" s="1"/>
      <c r="V73" s="5">
        <f t="shared" ref="V73:V75" si="45">IF(T$12=0,0,T73/T$12)</f>
        <v>0</v>
      </c>
      <c r="W73" s="1"/>
      <c r="X73" s="1">
        <f t="shared" ref="X73:X75" si="46">+P73-T73</f>
        <v>75.269999999999982</v>
      </c>
      <c r="Y73" s="1"/>
      <c r="Z73" s="5">
        <f t="shared" ref="Z73:Z75" si="47">IF(T73=0,0,X73/T73)</f>
        <v>3.8599999999999988E-2</v>
      </c>
    </row>
    <row r="74" spans="1:26" s="24" customFormat="1" hidden="1" outlineLevel="2" x14ac:dyDescent="0.25">
      <c r="A74" s="29"/>
      <c r="B74" s="11" t="str">
        <f>CONCATENATE("          ", "6281", " - ", "STORAGE FEE")</f>
        <v xml:space="preserve">          6281 - STORAGE FEE</v>
      </c>
      <c r="C74" s="11"/>
      <c r="D74" s="7">
        <v>657.38</v>
      </c>
      <c r="E74" s="2"/>
      <c r="F74" s="6">
        <f t="shared" si="40"/>
        <v>0</v>
      </c>
      <c r="G74" s="2"/>
      <c r="H74" s="7">
        <v>625</v>
      </c>
      <c r="I74" s="2"/>
      <c r="J74" s="6">
        <f t="shared" si="41"/>
        <v>0</v>
      </c>
      <c r="K74" s="2"/>
      <c r="L74" s="7">
        <f t="shared" si="42"/>
        <v>32.379999999999995</v>
      </c>
      <c r="M74" s="2"/>
      <c r="N74" s="6">
        <f t="shared" si="43"/>
        <v>5.1807999999999993E-2</v>
      </c>
      <c r="O74" s="11"/>
      <c r="P74" s="7">
        <v>2025.27</v>
      </c>
      <c r="Q74" s="2"/>
      <c r="R74" s="6">
        <f t="shared" si="44"/>
        <v>0</v>
      </c>
      <c r="S74" s="2"/>
      <c r="T74" s="7">
        <v>1875</v>
      </c>
      <c r="U74" s="2"/>
      <c r="V74" s="6">
        <f t="shared" si="45"/>
        <v>0</v>
      </c>
      <c r="W74" s="2"/>
      <c r="X74" s="7">
        <f t="shared" si="46"/>
        <v>150.26999999999998</v>
      </c>
      <c r="Y74" s="2"/>
      <c r="Z74" s="6">
        <f t="shared" si="47"/>
        <v>8.0143999999999993E-2</v>
      </c>
    </row>
    <row r="75" spans="1:26" s="24" customFormat="1" hidden="1" outlineLevel="2" x14ac:dyDescent="0.25">
      <c r="A75" s="29"/>
      <c r="B75" s="11" t="str">
        <f>CONCATENATE("          ", "6286", " - ", "LAUNDRY EXPENSE")</f>
        <v xml:space="preserve">          6286 - LAUNDRY EXPENSE</v>
      </c>
      <c r="C75" s="11"/>
      <c r="D75" s="7"/>
      <c r="E75" s="2"/>
      <c r="F75" s="6">
        <f t="shared" si="40"/>
        <v>0</v>
      </c>
      <c r="G75" s="2"/>
      <c r="H75" s="7">
        <v>25</v>
      </c>
      <c r="I75" s="2"/>
      <c r="J75" s="6">
        <f t="shared" si="41"/>
        <v>0</v>
      </c>
      <c r="K75" s="2"/>
      <c r="L75" s="7">
        <f t="shared" si="42"/>
        <v>-25</v>
      </c>
      <c r="M75" s="2"/>
      <c r="N75" s="6">
        <f t="shared" si="43"/>
        <v>-1</v>
      </c>
      <c r="O75" s="11"/>
      <c r="P75" s="7"/>
      <c r="Q75" s="2"/>
      <c r="R75" s="6">
        <f t="shared" si="44"/>
        <v>0</v>
      </c>
      <c r="S75" s="2"/>
      <c r="T75" s="7">
        <v>75</v>
      </c>
      <c r="U75" s="2"/>
      <c r="V75" s="6">
        <f t="shared" si="45"/>
        <v>0</v>
      </c>
      <c r="W75" s="2"/>
      <c r="X75" s="7">
        <f t="shared" si="46"/>
        <v>-75</v>
      </c>
      <c r="Y75" s="2"/>
      <c r="Z75" s="6">
        <f t="shared" si="47"/>
        <v>-1</v>
      </c>
    </row>
    <row r="76" spans="1:26" s="28" customFormat="1" outlineLevel="1" collapsed="1" x14ac:dyDescent="0.25">
      <c r="A76" s="27"/>
      <c r="B76" s="14" t="str">
        <f>CONCATENATE("     ","Subscriptions &amp; Dues                              ")</f>
        <v xml:space="preserve">     Subscriptions &amp; Dues                              </v>
      </c>
      <c r="C76" s="14"/>
      <c r="D76" s="1">
        <f>SUM(OSRRefD22_15x_0)</f>
        <v>0</v>
      </c>
      <c r="E76" s="1"/>
      <c r="F76" s="5">
        <f t="shared" ref="F76:F84" si="48">IF(D$12=0,0,D76/D$12)</f>
        <v>0</v>
      </c>
      <c r="G76" s="1"/>
      <c r="H76" s="1">
        <f>SUM(OSRRefH22_15x_0)</f>
        <v>1000</v>
      </c>
      <c r="I76" s="1"/>
      <c r="J76" s="5">
        <f t="shared" ref="J76:J84" si="49">IF(H$12=0,0,H76/H$12)</f>
        <v>0</v>
      </c>
      <c r="K76" s="1"/>
      <c r="L76" s="1">
        <f t="shared" ref="L76:L84" si="50">+D76-H76</f>
        <v>-1000</v>
      </c>
      <c r="M76" s="1"/>
      <c r="N76" s="5">
        <f t="shared" ref="N76:N84" si="51">IF(H76=0,0,L76/H76)</f>
        <v>-1</v>
      </c>
      <c r="O76" s="14"/>
      <c r="P76" s="1">
        <f>SUM(OSRRefP22_15x_0)</f>
        <v>1219</v>
      </c>
      <c r="Q76" s="1"/>
      <c r="R76" s="5">
        <f t="shared" ref="R76:R84" si="52">IF(P$12=0,0,P76/P$12)</f>
        <v>0</v>
      </c>
      <c r="S76" s="1"/>
      <c r="T76" s="1">
        <f>SUM(OSRRefT22_15x_0)</f>
        <v>1975</v>
      </c>
      <c r="U76" s="1"/>
      <c r="V76" s="5">
        <f t="shared" ref="V76:V84" si="53">IF(T$12=0,0,T76/T$12)</f>
        <v>0</v>
      </c>
      <c r="W76" s="1"/>
      <c r="X76" s="1">
        <f t="shared" ref="X76:X84" si="54">+P76-T76</f>
        <v>-756</v>
      </c>
      <c r="Y76" s="1"/>
      <c r="Z76" s="5">
        <f t="shared" ref="Z76:Z84" si="55">IF(T76=0,0,X76/T76)</f>
        <v>-0.38278481012658228</v>
      </c>
    </row>
    <row r="77" spans="1:26" s="24" customFormat="1" hidden="1" outlineLevel="2" x14ac:dyDescent="0.25">
      <c r="A77" s="29"/>
      <c r="B77" s="11" t="str">
        <f>CONCATENATE("          ", "6258", " - ", "MEMBERSHIP DUES")</f>
        <v xml:space="preserve">          6258 - MEMBERSHIP DUES</v>
      </c>
      <c r="C77" s="11"/>
      <c r="D77" s="7"/>
      <c r="E77" s="2"/>
      <c r="F77" s="6">
        <f t="shared" si="48"/>
        <v>0</v>
      </c>
      <c r="G77" s="2"/>
      <c r="H77" s="7">
        <v>1000</v>
      </c>
      <c r="I77" s="2"/>
      <c r="J77" s="6">
        <f t="shared" si="49"/>
        <v>0</v>
      </c>
      <c r="K77" s="2"/>
      <c r="L77" s="7">
        <f t="shared" si="50"/>
        <v>-1000</v>
      </c>
      <c r="M77" s="2"/>
      <c r="N77" s="6">
        <f t="shared" si="51"/>
        <v>-1</v>
      </c>
      <c r="O77" s="11"/>
      <c r="P77" s="7">
        <v>1219</v>
      </c>
      <c r="Q77" s="2"/>
      <c r="R77" s="6">
        <f t="shared" si="52"/>
        <v>0</v>
      </c>
      <c r="S77" s="2"/>
      <c r="T77" s="7">
        <v>1975</v>
      </c>
      <c r="U77" s="2"/>
      <c r="V77" s="6">
        <f t="shared" si="53"/>
        <v>0</v>
      </c>
      <c r="W77" s="2"/>
      <c r="X77" s="7">
        <f t="shared" si="54"/>
        <v>-756</v>
      </c>
      <c r="Y77" s="2"/>
      <c r="Z77" s="6">
        <f t="shared" si="55"/>
        <v>-0.38278481012658228</v>
      </c>
    </row>
    <row r="78" spans="1:26" s="28" customFormat="1" outlineLevel="1" collapsed="1" x14ac:dyDescent="0.25">
      <c r="A78" s="27"/>
      <c r="B78" s="14" t="str">
        <f>CONCATENATE("     ","Supplies                                          ")</f>
        <v xml:space="preserve">     Supplies                                          </v>
      </c>
      <c r="C78" s="14"/>
      <c r="D78" s="1">
        <f>SUM(OSRRefD22_16x_0)</f>
        <v>291.31</v>
      </c>
      <c r="E78" s="1"/>
      <c r="F78" s="5">
        <f t="shared" si="48"/>
        <v>0</v>
      </c>
      <c r="G78" s="1"/>
      <c r="H78" s="1">
        <f>SUM(OSRRefH22_16x_0)</f>
        <v>2784</v>
      </c>
      <c r="I78" s="1"/>
      <c r="J78" s="5">
        <f t="shared" si="49"/>
        <v>0</v>
      </c>
      <c r="K78" s="1"/>
      <c r="L78" s="1">
        <f t="shared" si="50"/>
        <v>-2492.69</v>
      </c>
      <c r="M78" s="1"/>
      <c r="N78" s="5">
        <f t="shared" si="51"/>
        <v>-0.89536278735632191</v>
      </c>
      <c r="O78" s="14"/>
      <c r="P78" s="1">
        <f>SUM(OSRRefP22_16x_0)</f>
        <v>6578.18</v>
      </c>
      <c r="Q78" s="1"/>
      <c r="R78" s="5">
        <f t="shared" si="52"/>
        <v>0</v>
      </c>
      <c r="S78" s="1"/>
      <c r="T78" s="1">
        <f>SUM(OSRRefT22_16x_0)</f>
        <v>13352</v>
      </c>
      <c r="U78" s="1"/>
      <c r="V78" s="5">
        <f t="shared" si="53"/>
        <v>0</v>
      </c>
      <c r="W78" s="1"/>
      <c r="X78" s="1">
        <f t="shared" si="54"/>
        <v>-6773.82</v>
      </c>
      <c r="Y78" s="1"/>
      <c r="Z78" s="5">
        <f t="shared" si="55"/>
        <v>-0.50732624325943676</v>
      </c>
    </row>
    <row r="79" spans="1:26" s="24" customFormat="1" hidden="1" outlineLevel="2" x14ac:dyDescent="0.25">
      <c r="A79" s="29"/>
      <c r="B79" s="11" t="str">
        <f>CONCATENATE("          ", "6234", " - ", "EXPENDABLE SUPPLIES &amp; EQUIPMEN")</f>
        <v xml:space="preserve">          6234 - EXPENDABLE SUPPLIES &amp; EQUIPMEN</v>
      </c>
      <c r="C79" s="11"/>
      <c r="D79" s="7"/>
      <c r="E79" s="2"/>
      <c r="F79" s="6">
        <f t="shared" si="48"/>
        <v>0</v>
      </c>
      <c r="G79" s="2"/>
      <c r="H79" s="7">
        <v>125</v>
      </c>
      <c r="I79" s="2"/>
      <c r="J79" s="6">
        <f t="shared" si="49"/>
        <v>0</v>
      </c>
      <c r="K79" s="2"/>
      <c r="L79" s="7">
        <f t="shared" si="50"/>
        <v>-125</v>
      </c>
      <c r="M79" s="2"/>
      <c r="N79" s="6">
        <f t="shared" si="51"/>
        <v>-1</v>
      </c>
      <c r="O79" s="11"/>
      <c r="P79" s="7">
        <v>26.1</v>
      </c>
      <c r="Q79" s="2"/>
      <c r="R79" s="6">
        <f t="shared" si="52"/>
        <v>0</v>
      </c>
      <c r="S79" s="2"/>
      <c r="T79" s="7">
        <v>375</v>
      </c>
      <c r="U79" s="2"/>
      <c r="V79" s="6">
        <f t="shared" si="53"/>
        <v>0</v>
      </c>
      <c r="W79" s="2"/>
      <c r="X79" s="7">
        <f t="shared" si="54"/>
        <v>-348.9</v>
      </c>
      <c r="Y79" s="2"/>
      <c r="Z79" s="6">
        <f t="shared" si="55"/>
        <v>-0.93039999999999989</v>
      </c>
    </row>
    <row r="80" spans="1:26" s="24" customFormat="1" hidden="1" outlineLevel="2" x14ac:dyDescent="0.25">
      <c r="A80" s="29"/>
      <c r="B80" s="11" t="str">
        <f>CONCATENATE("          ", "6235", " - ", "COVID-19 EXPENSES")</f>
        <v xml:space="preserve">          6235 - COVID-19 EXPENSES</v>
      </c>
      <c r="C80" s="11"/>
      <c r="D80" s="7"/>
      <c r="E80" s="2"/>
      <c r="F80" s="6">
        <f t="shared" si="48"/>
        <v>0</v>
      </c>
      <c r="G80" s="2"/>
      <c r="H80" s="7"/>
      <c r="I80" s="2"/>
      <c r="J80" s="6">
        <f t="shared" si="49"/>
        <v>0</v>
      </c>
      <c r="K80" s="2"/>
      <c r="L80" s="7">
        <f t="shared" si="50"/>
        <v>0</v>
      </c>
      <c r="M80" s="2"/>
      <c r="N80" s="6">
        <f t="shared" si="51"/>
        <v>0</v>
      </c>
      <c r="O80" s="11"/>
      <c r="P80" s="7">
        <v>2447.77</v>
      </c>
      <c r="Q80" s="2"/>
      <c r="R80" s="6">
        <f t="shared" si="52"/>
        <v>0</v>
      </c>
      <c r="S80" s="2"/>
      <c r="T80" s="7"/>
      <c r="U80" s="2"/>
      <c r="V80" s="6">
        <f t="shared" si="53"/>
        <v>0</v>
      </c>
      <c r="W80" s="2"/>
      <c r="X80" s="7">
        <f t="shared" si="54"/>
        <v>2447.77</v>
      </c>
      <c r="Y80" s="2"/>
      <c r="Z80" s="6">
        <f t="shared" si="55"/>
        <v>0</v>
      </c>
    </row>
    <row r="81" spans="1:26" s="24" customFormat="1" hidden="1" outlineLevel="2" x14ac:dyDescent="0.25">
      <c r="A81" s="29"/>
      <c r="B81" s="11" t="str">
        <f>CONCATENATE("          ", "6241", " - ", "OFFICE EXPENSE")</f>
        <v xml:space="preserve">          6241 - OFFICE EXPENSE</v>
      </c>
      <c r="C81" s="11"/>
      <c r="D81" s="7">
        <v>116.31</v>
      </c>
      <c r="E81" s="2"/>
      <c r="F81" s="6">
        <f t="shared" si="48"/>
        <v>0</v>
      </c>
      <c r="G81" s="2"/>
      <c r="H81" s="7">
        <v>2242</v>
      </c>
      <c r="I81" s="2"/>
      <c r="J81" s="6">
        <f t="shared" si="49"/>
        <v>0</v>
      </c>
      <c r="K81" s="2"/>
      <c r="L81" s="7">
        <f t="shared" si="50"/>
        <v>-2125.69</v>
      </c>
      <c r="M81" s="2"/>
      <c r="N81" s="6">
        <f t="shared" si="51"/>
        <v>-0.94812221231043714</v>
      </c>
      <c r="O81" s="11"/>
      <c r="P81" s="7">
        <v>2517.62</v>
      </c>
      <c r="Q81" s="2"/>
      <c r="R81" s="6">
        <f t="shared" si="52"/>
        <v>0</v>
      </c>
      <c r="S81" s="2"/>
      <c r="T81" s="7">
        <v>6726</v>
      </c>
      <c r="U81" s="2"/>
      <c r="V81" s="6">
        <f t="shared" si="53"/>
        <v>0</v>
      </c>
      <c r="W81" s="2"/>
      <c r="X81" s="7">
        <f t="shared" si="54"/>
        <v>-4208.38</v>
      </c>
      <c r="Y81" s="2"/>
      <c r="Z81" s="6">
        <f t="shared" si="55"/>
        <v>-0.6256883734760631</v>
      </c>
    </row>
    <row r="82" spans="1:26" s="24" customFormat="1" hidden="1" outlineLevel="2" x14ac:dyDescent="0.25">
      <c r="A82" s="29"/>
      <c r="B82" s="11" t="str">
        <f>CONCATENATE("          ", "6244", " - ", "SAFETY SUPPLY EXPENSE")</f>
        <v xml:space="preserve">          6244 - SAFETY SUPPLY EXPENSE</v>
      </c>
      <c r="C82" s="11"/>
      <c r="D82" s="7">
        <v>175</v>
      </c>
      <c r="E82" s="2"/>
      <c r="F82" s="6">
        <f t="shared" si="48"/>
        <v>0</v>
      </c>
      <c r="G82" s="2"/>
      <c r="H82" s="7">
        <v>417</v>
      </c>
      <c r="I82" s="2"/>
      <c r="J82" s="6">
        <f t="shared" si="49"/>
        <v>0</v>
      </c>
      <c r="K82" s="2"/>
      <c r="L82" s="7">
        <f t="shared" si="50"/>
        <v>-242</v>
      </c>
      <c r="M82" s="2"/>
      <c r="N82" s="6">
        <f t="shared" si="51"/>
        <v>-0.58033573141486805</v>
      </c>
      <c r="O82" s="11"/>
      <c r="P82" s="7">
        <v>375</v>
      </c>
      <c r="Q82" s="2"/>
      <c r="R82" s="6">
        <f t="shared" si="52"/>
        <v>0</v>
      </c>
      <c r="S82" s="2"/>
      <c r="T82" s="7">
        <v>1251</v>
      </c>
      <c r="U82" s="2"/>
      <c r="V82" s="6">
        <f t="shared" si="53"/>
        <v>0</v>
      </c>
      <c r="W82" s="2"/>
      <c r="X82" s="7">
        <f t="shared" si="54"/>
        <v>-876</v>
      </c>
      <c r="Y82" s="2"/>
      <c r="Z82" s="6">
        <f t="shared" si="55"/>
        <v>-0.70023980815347719</v>
      </c>
    </row>
    <row r="83" spans="1:26" s="24" customFormat="1" hidden="1" outlineLevel="2" x14ac:dyDescent="0.25">
      <c r="A83" s="29"/>
      <c r="B83" s="11" t="str">
        <f>CONCATENATE("          ", "6247", " - ", "STORE SUPPLIES")</f>
        <v xml:space="preserve">          6247 - STORE SUPPLIES</v>
      </c>
      <c r="C83" s="11"/>
      <c r="D83" s="7"/>
      <c r="E83" s="2"/>
      <c r="F83" s="6">
        <f t="shared" si="48"/>
        <v>0</v>
      </c>
      <c r="G83" s="2"/>
      <c r="H83" s="7"/>
      <c r="I83" s="2"/>
      <c r="J83" s="6">
        <f t="shared" si="49"/>
        <v>0</v>
      </c>
      <c r="K83" s="2"/>
      <c r="L83" s="7">
        <f t="shared" si="50"/>
        <v>0</v>
      </c>
      <c r="M83" s="2"/>
      <c r="N83" s="6">
        <f t="shared" si="51"/>
        <v>0</v>
      </c>
      <c r="O83" s="11"/>
      <c r="P83" s="7"/>
      <c r="Q83" s="2"/>
      <c r="R83" s="6">
        <f t="shared" si="52"/>
        <v>0</v>
      </c>
      <c r="S83" s="2"/>
      <c r="T83" s="7">
        <v>5000</v>
      </c>
      <c r="U83" s="2"/>
      <c r="V83" s="6">
        <f t="shared" si="53"/>
        <v>0</v>
      </c>
      <c r="W83" s="2"/>
      <c r="X83" s="7">
        <f t="shared" si="54"/>
        <v>-5000</v>
      </c>
      <c r="Y83" s="2"/>
      <c r="Z83" s="6">
        <f t="shared" si="55"/>
        <v>-1</v>
      </c>
    </row>
    <row r="84" spans="1:26" s="24" customFormat="1" hidden="1" outlineLevel="2" x14ac:dyDescent="0.25">
      <c r="A84" s="29"/>
      <c r="B84" s="11" t="str">
        <f>CONCATENATE("          ", "6248", " - ", "UNIFORMS")</f>
        <v xml:space="preserve">          6248 - UNIFORMS</v>
      </c>
      <c r="C84" s="11"/>
      <c r="D84" s="7"/>
      <c r="E84" s="2"/>
      <c r="F84" s="6">
        <f t="shared" si="48"/>
        <v>0</v>
      </c>
      <c r="G84" s="2"/>
      <c r="H84" s="7"/>
      <c r="I84" s="2"/>
      <c r="J84" s="6">
        <f t="shared" si="49"/>
        <v>0</v>
      </c>
      <c r="K84" s="2"/>
      <c r="L84" s="7">
        <f t="shared" si="50"/>
        <v>0</v>
      </c>
      <c r="M84" s="2"/>
      <c r="N84" s="6">
        <f t="shared" si="51"/>
        <v>0</v>
      </c>
      <c r="O84" s="11"/>
      <c r="P84" s="7">
        <v>1211.69</v>
      </c>
      <c r="Q84" s="2"/>
      <c r="R84" s="6">
        <f t="shared" si="52"/>
        <v>0</v>
      </c>
      <c r="S84" s="2"/>
      <c r="T84" s="7"/>
      <c r="U84" s="2"/>
      <c r="V84" s="6">
        <f t="shared" si="53"/>
        <v>0</v>
      </c>
      <c r="W84" s="2"/>
      <c r="X84" s="7">
        <f t="shared" si="54"/>
        <v>1211.69</v>
      </c>
      <c r="Y84" s="2"/>
      <c r="Z84" s="6">
        <f t="shared" si="55"/>
        <v>0</v>
      </c>
    </row>
    <row r="85" spans="1:26" s="28" customFormat="1" outlineLevel="1" collapsed="1" x14ac:dyDescent="0.25">
      <c r="A85" s="27"/>
      <c r="B85" s="14" t="str">
        <f>CONCATENATE("     ","Telephone/Data Lines                              ")</f>
        <v xml:space="preserve">     Telephone/Data Lines                              </v>
      </c>
      <c r="C85" s="14"/>
      <c r="D85" s="1">
        <f>SUM(OSRRefD22_17x_0)</f>
        <v>1996.73</v>
      </c>
      <c r="E85" s="1"/>
      <c r="F85" s="5">
        <f t="shared" ref="F85:F87" si="56">IF(D$12=0,0,D85/D$12)</f>
        <v>0</v>
      </c>
      <c r="G85" s="1"/>
      <c r="H85" s="1">
        <f>SUM(OSRRefH22_17x_0)</f>
        <v>1805</v>
      </c>
      <c r="I85" s="1"/>
      <c r="J85" s="5">
        <f t="shared" ref="J85:J87" si="57">IF(H$12=0,0,H85/H$12)</f>
        <v>0</v>
      </c>
      <c r="K85" s="1"/>
      <c r="L85" s="1">
        <f t="shared" ref="L85:L87" si="58">+D85-H85</f>
        <v>191.73000000000002</v>
      </c>
      <c r="M85" s="1"/>
      <c r="N85" s="5">
        <f t="shared" ref="N85:N87" si="59">IF(H85=0,0,L85/H85)</f>
        <v>0.10622160664819946</v>
      </c>
      <c r="O85" s="14"/>
      <c r="P85" s="1">
        <f>SUM(OSRRefP22_17x_0)</f>
        <v>6514.3</v>
      </c>
      <c r="Q85" s="1"/>
      <c r="R85" s="5">
        <f t="shared" ref="R85:R87" si="60">IF(P$12=0,0,P85/P$12)</f>
        <v>0</v>
      </c>
      <c r="S85" s="1"/>
      <c r="T85" s="1">
        <f>SUM(OSRRefT22_17x_0)</f>
        <v>5415</v>
      </c>
      <c r="U85" s="1"/>
      <c r="V85" s="5">
        <f t="shared" ref="V85:V87" si="61">IF(T$12=0,0,T85/T$12)</f>
        <v>0</v>
      </c>
      <c r="W85" s="1"/>
      <c r="X85" s="1">
        <f t="shared" ref="X85:X87" si="62">+P85-T85</f>
        <v>1099.3000000000002</v>
      </c>
      <c r="Y85" s="1"/>
      <c r="Z85" s="5">
        <f t="shared" ref="Z85:Z87" si="63">IF(T85=0,0,X85/T85)</f>
        <v>0.20301015697137584</v>
      </c>
    </row>
    <row r="86" spans="1:26" s="24" customFormat="1" hidden="1" outlineLevel="2" x14ac:dyDescent="0.25">
      <c r="A86" s="29"/>
      <c r="B86" s="11" t="str">
        <f>CONCATENATE("          ", "6303", " - ", "DATA PHONE LINES")</f>
        <v xml:space="preserve">          6303 - DATA PHONE LINES</v>
      </c>
      <c r="C86" s="11"/>
      <c r="D86" s="7"/>
      <c r="E86" s="2"/>
      <c r="F86" s="6">
        <f t="shared" si="56"/>
        <v>0</v>
      </c>
      <c r="G86" s="2"/>
      <c r="H86" s="7">
        <v>236</v>
      </c>
      <c r="I86" s="2"/>
      <c r="J86" s="6">
        <f t="shared" si="57"/>
        <v>0</v>
      </c>
      <c r="K86" s="2"/>
      <c r="L86" s="7">
        <f t="shared" si="58"/>
        <v>-236</v>
      </c>
      <c r="M86" s="2"/>
      <c r="N86" s="6">
        <f t="shared" si="59"/>
        <v>-1</v>
      </c>
      <c r="O86" s="11"/>
      <c r="P86" s="7">
        <v>323.95999999999998</v>
      </c>
      <c r="Q86" s="2"/>
      <c r="R86" s="6">
        <f t="shared" si="60"/>
        <v>0</v>
      </c>
      <c r="S86" s="2"/>
      <c r="T86" s="7">
        <v>708</v>
      </c>
      <c r="U86" s="2"/>
      <c r="V86" s="6">
        <f t="shared" si="61"/>
        <v>0</v>
      </c>
      <c r="W86" s="2"/>
      <c r="X86" s="7">
        <f t="shared" si="62"/>
        <v>-384.04</v>
      </c>
      <c r="Y86" s="2"/>
      <c r="Z86" s="6">
        <f t="shared" si="63"/>
        <v>-0.54242937853107343</v>
      </c>
    </row>
    <row r="87" spans="1:26" s="24" customFormat="1" hidden="1" outlineLevel="2" x14ac:dyDescent="0.25">
      <c r="A87" s="29"/>
      <c r="B87" s="11" t="str">
        <f>CONCATENATE("          ", "6309", " - ", "TELEPHONE")</f>
        <v xml:space="preserve">          6309 - TELEPHONE</v>
      </c>
      <c r="C87" s="11"/>
      <c r="D87" s="7">
        <v>1996.73</v>
      </c>
      <c r="E87" s="2"/>
      <c r="F87" s="6">
        <f t="shared" si="56"/>
        <v>0</v>
      </c>
      <c r="G87" s="2"/>
      <c r="H87" s="7">
        <v>1569</v>
      </c>
      <c r="I87" s="2"/>
      <c r="J87" s="6">
        <f t="shared" si="57"/>
        <v>0</v>
      </c>
      <c r="K87" s="2"/>
      <c r="L87" s="7">
        <f t="shared" si="58"/>
        <v>427.73</v>
      </c>
      <c r="M87" s="2"/>
      <c r="N87" s="6">
        <f t="shared" si="59"/>
        <v>0.27261312938177185</v>
      </c>
      <c r="O87" s="11"/>
      <c r="P87" s="7">
        <v>6190.34</v>
      </c>
      <c r="Q87" s="2"/>
      <c r="R87" s="6">
        <f t="shared" si="60"/>
        <v>0</v>
      </c>
      <c r="S87" s="2"/>
      <c r="T87" s="7">
        <v>4707</v>
      </c>
      <c r="U87" s="2"/>
      <c r="V87" s="6">
        <f t="shared" si="61"/>
        <v>0</v>
      </c>
      <c r="W87" s="2"/>
      <c r="X87" s="7">
        <f t="shared" si="62"/>
        <v>1483.3400000000001</v>
      </c>
      <c r="Y87" s="2"/>
      <c r="Z87" s="6">
        <f t="shared" si="63"/>
        <v>0.31513490545995332</v>
      </c>
    </row>
    <row r="88" spans="1:26" s="28" customFormat="1" outlineLevel="1" collapsed="1" x14ac:dyDescent="0.25">
      <c r="A88" s="27"/>
      <c r="B88" s="14" t="str">
        <f>CONCATENATE("     ","Training                                          ")</f>
        <v xml:space="preserve">     Training                                          </v>
      </c>
      <c r="C88" s="14"/>
      <c r="D88" s="1">
        <f>SUM(OSRRefD22_18x_0)</f>
        <v>0</v>
      </c>
      <c r="E88" s="1"/>
      <c r="F88" s="5">
        <f t="shared" ref="F88:F91" si="64">IF(D$12=0,0,D88/D$12)</f>
        <v>0</v>
      </c>
      <c r="G88" s="1"/>
      <c r="H88" s="1">
        <f>SUM(OSRRefH22_18x_0)</f>
        <v>333</v>
      </c>
      <c r="I88" s="1"/>
      <c r="J88" s="5">
        <f t="shared" ref="J88:J91" si="65">IF(H$12=0,0,H88/H$12)</f>
        <v>0</v>
      </c>
      <c r="K88" s="1"/>
      <c r="L88" s="1">
        <f t="shared" ref="L88:L91" si="66">+D88-H88</f>
        <v>-333</v>
      </c>
      <c r="M88" s="1"/>
      <c r="N88" s="5">
        <f t="shared" ref="N88:N91" si="67">IF(H88=0,0,L88/H88)</f>
        <v>-1</v>
      </c>
      <c r="O88" s="14"/>
      <c r="P88" s="1">
        <f>SUM(OSRRefP22_18x_0)</f>
        <v>595</v>
      </c>
      <c r="Q88" s="1"/>
      <c r="R88" s="5">
        <f t="shared" ref="R88:R91" si="68">IF(P$12=0,0,P88/P$12)</f>
        <v>0</v>
      </c>
      <c r="S88" s="1"/>
      <c r="T88" s="1">
        <f>SUM(OSRRefT22_18x_0)</f>
        <v>1999</v>
      </c>
      <c r="U88" s="1"/>
      <c r="V88" s="5">
        <f t="shared" ref="V88:V91" si="69">IF(T$12=0,0,T88/T$12)</f>
        <v>0</v>
      </c>
      <c r="W88" s="1"/>
      <c r="X88" s="1">
        <f t="shared" ref="X88:X91" si="70">+P88-T88</f>
        <v>-1404</v>
      </c>
      <c r="Y88" s="1"/>
      <c r="Z88" s="5">
        <f t="shared" ref="Z88:Z91" si="71">IF(T88=0,0,X88/T88)</f>
        <v>-0.70235117558779392</v>
      </c>
    </row>
    <row r="89" spans="1:26" s="24" customFormat="1" hidden="1" outlineLevel="2" x14ac:dyDescent="0.25">
      <c r="A89" s="29"/>
      <c r="B89" s="11" t="str">
        <f>CONCATENATE("          ", "6376", " - ", "TRAINING")</f>
        <v xml:space="preserve">          6376 - TRAINING</v>
      </c>
      <c r="C89" s="11"/>
      <c r="D89" s="7"/>
      <c r="E89" s="2"/>
      <c r="F89" s="6">
        <f t="shared" si="64"/>
        <v>0</v>
      </c>
      <c r="G89" s="2"/>
      <c r="H89" s="7">
        <v>333</v>
      </c>
      <c r="I89" s="2"/>
      <c r="J89" s="6">
        <f t="shared" si="65"/>
        <v>0</v>
      </c>
      <c r="K89" s="2"/>
      <c r="L89" s="7">
        <f t="shared" si="66"/>
        <v>-333</v>
      </c>
      <c r="M89" s="2"/>
      <c r="N89" s="6">
        <f t="shared" si="67"/>
        <v>-1</v>
      </c>
      <c r="O89" s="11"/>
      <c r="P89" s="7">
        <v>595</v>
      </c>
      <c r="Q89" s="2"/>
      <c r="R89" s="6">
        <f t="shared" si="68"/>
        <v>0</v>
      </c>
      <c r="S89" s="2"/>
      <c r="T89" s="7">
        <v>1999</v>
      </c>
      <c r="U89" s="2"/>
      <c r="V89" s="6">
        <f t="shared" si="69"/>
        <v>0</v>
      </c>
      <c r="W89" s="2"/>
      <c r="X89" s="7">
        <f t="shared" si="70"/>
        <v>-1404</v>
      </c>
      <c r="Y89" s="2"/>
      <c r="Z89" s="6">
        <f t="shared" si="71"/>
        <v>-0.70235117558779392</v>
      </c>
    </row>
    <row r="90" spans="1:26" s="28" customFormat="1" outlineLevel="1" collapsed="1" x14ac:dyDescent="0.25">
      <c r="A90" s="27"/>
      <c r="B90" s="14" t="str">
        <f>CONCATENATE("     ","Travel                                            ")</f>
        <v xml:space="preserve">     Travel                                            </v>
      </c>
      <c r="C90" s="14"/>
      <c r="D90" s="1">
        <f>SUM(OSRRefD22_19x_0)</f>
        <v>13.3</v>
      </c>
      <c r="E90" s="1"/>
      <c r="F90" s="5">
        <f t="shared" si="64"/>
        <v>0</v>
      </c>
      <c r="G90" s="1"/>
      <c r="H90" s="1">
        <f>SUM(OSRRefH22_19x_0)</f>
        <v>0</v>
      </c>
      <c r="I90" s="1"/>
      <c r="J90" s="5">
        <f t="shared" si="65"/>
        <v>0</v>
      </c>
      <c r="K90" s="1"/>
      <c r="L90" s="1">
        <f t="shared" si="66"/>
        <v>13.3</v>
      </c>
      <c r="M90" s="1"/>
      <c r="N90" s="5">
        <f t="shared" si="67"/>
        <v>0</v>
      </c>
      <c r="O90" s="14"/>
      <c r="P90" s="1">
        <f>SUM(OSRRefP22_19x_0)</f>
        <v>30.4</v>
      </c>
      <c r="Q90" s="1"/>
      <c r="R90" s="5">
        <f t="shared" si="68"/>
        <v>0</v>
      </c>
      <c r="S90" s="1"/>
      <c r="T90" s="1">
        <f>SUM(OSRRefT22_19x_0)</f>
        <v>0</v>
      </c>
      <c r="U90" s="1"/>
      <c r="V90" s="5">
        <f t="shared" si="69"/>
        <v>0</v>
      </c>
      <c r="W90" s="1"/>
      <c r="X90" s="1">
        <f t="shared" si="70"/>
        <v>30.4</v>
      </c>
      <c r="Y90" s="1"/>
      <c r="Z90" s="5">
        <f t="shared" si="71"/>
        <v>0</v>
      </c>
    </row>
    <row r="91" spans="1:26" s="24" customFormat="1" hidden="1" outlineLevel="2" x14ac:dyDescent="0.25">
      <c r="A91" s="29"/>
      <c r="B91" s="11" t="str">
        <f>CONCATENATE("          ", "6294", " - ", "TRAVEL OPERATIONAL")</f>
        <v xml:space="preserve">          6294 - TRAVEL OPERATIONAL</v>
      </c>
      <c r="C91" s="11"/>
      <c r="D91" s="7">
        <v>13.3</v>
      </c>
      <c r="E91" s="2"/>
      <c r="F91" s="6">
        <f t="shared" si="64"/>
        <v>0</v>
      </c>
      <c r="G91" s="2"/>
      <c r="H91" s="7"/>
      <c r="I91" s="2"/>
      <c r="J91" s="6">
        <f t="shared" si="65"/>
        <v>0</v>
      </c>
      <c r="K91" s="2"/>
      <c r="L91" s="7">
        <f t="shared" si="66"/>
        <v>13.3</v>
      </c>
      <c r="M91" s="2"/>
      <c r="N91" s="6">
        <f t="shared" si="67"/>
        <v>0</v>
      </c>
      <c r="O91" s="11"/>
      <c r="P91" s="7">
        <v>30.4</v>
      </c>
      <c r="Q91" s="2"/>
      <c r="R91" s="6">
        <f t="shared" si="68"/>
        <v>0</v>
      </c>
      <c r="S91" s="2"/>
      <c r="T91" s="7"/>
      <c r="U91" s="2"/>
      <c r="V91" s="6">
        <f t="shared" si="69"/>
        <v>0</v>
      </c>
      <c r="W91" s="2"/>
      <c r="X91" s="7">
        <f t="shared" si="70"/>
        <v>30.4</v>
      </c>
      <c r="Y91" s="2"/>
      <c r="Z91" s="6">
        <f t="shared" si="71"/>
        <v>0</v>
      </c>
    </row>
    <row r="92" spans="1:26" s="58" customFormat="1" x14ac:dyDescent="0.25">
      <c r="A92" s="36"/>
      <c r="B92" s="36"/>
      <c r="C92" s="36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6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3" customFormat="1" x14ac:dyDescent="0.25">
      <c r="A93" s="10"/>
      <c r="B93" s="26" t="s">
        <v>293</v>
      </c>
      <c r="C93" s="10"/>
      <c r="D93" s="4">
        <f>SUM(0)</f>
        <v>0</v>
      </c>
      <c r="E93" s="4"/>
      <c r="F93" s="12">
        <f>IF(D$12=0,0,D93/D$12)</f>
        <v>0</v>
      </c>
      <c r="G93" s="4"/>
      <c r="H93" s="4">
        <f>SUM(0)</f>
        <v>0</v>
      </c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>
        <f>SUM(0)</f>
        <v>0</v>
      </c>
      <c r="Q93" s="4"/>
      <c r="R93" s="12">
        <f>IF(P$12=0,0,P93/P$12)</f>
        <v>0</v>
      </c>
      <c r="S93" s="4"/>
      <c r="T93" s="4">
        <f>SUM(0)</f>
        <v>0</v>
      </c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10"/>
      <c r="B95" s="25" t="s">
        <v>277</v>
      </c>
      <c r="C95" s="25"/>
      <c r="D95" s="21">
        <f>+D16-D18+D93</f>
        <v>-214039.08999999994</v>
      </c>
      <c r="E95" s="13"/>
      <c r="F95" s="20">
        <f>IF(D$12=0,0,D95/D$12)</f>
        <v>0</v>
      </c>
      <c r="G95" s="13"/>
      <c r="H95" s="21">
        <f>+H16-H18+H93</f>
        <v>-244376.06359984001</v>
      </c>
      <c r="I95" s="13"/>
      <c r="J95" s="20">
        <f>IF(H$12=0,0,H95/H$12)</f>
        <v>0</v>
      </c>
      <c r="K95" s="16"/>
      <c r="L95" s="21">
        <f>+D95-H95</f>
        <v>30336.973599840072</v>
      </c>
      <c r="M95" s="16"/>
      <c r="N95" s="20">
        <f>IF(H95=0,0,L95/H95)</f>
        <v>-0.12414052813910671</v>
      </c>
      <c r="O95" s="26"/>
      <c r="P95" s="21">
        <f>+P16-P18+P93</f>
        <v>-661244.69999999995</v>
      </c>
      <c r="Q95" s="13"/>
      <c r="R95" s="20">
        <f>IF(P$12=0,0,P95/P$12)</f>
        <v>0</v>
      </c>
      <c r="S95" s="13"/>
      <c r="T95" s="21">
        <f>+T16-T18+T93</f>
        <v>-760298.29869947978</v>
      </c>
      <c r="U95" s="13"/>
      <c r="V95" s="20">
        <f>IF(T$12=0,0,T95/T$12)</f>
        <v>0</v>
      </c>
      <c r="W95" s="16"/>
      <c r="X95" s="21">
        <f>+P95-T95</f>
        <v>99053.59869947983</v>
      </c>
      <c r="Y95" s="16"/>
      <c r="Z95" s="20">
        <f>IF(T95=0,0,X95/T95)</f>
        <v>-0.13028254682262858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52"/>
      <c r="B97" s="10" t="s">
        <v>128</v>
      </c>
      <c r="C97" s="10"/>
      <c r="D97" s="4"/>
      <c r="E97" s="4"/>
      <c r="F97" s="12">
        <f>IF(D$12=0,0,D97/D$12)</f>
        <v>0</v>
      </c>
      <c r="G97" s="4"/>
      <c r="H97" s="4"/>
      <c r="I97" s="4"/>
      <c r="J97" s="12">
        <f>IF(H$12=0,0,H97/H$12)</f>
        <v>0</v>
      </c>
      <c r="K97" s="4"/>
      <c r="L97" s="4">
        <f>+D97-H97</f>
        <v>0</v>
      </c>
      <c r="M97" s="4"/>
      <c r="N97" s="12">
        <f>IF(H97=0,0,L97/H97)</f>
        <v>0</v>
      </c>
      <c r="O97" s="10"/>
      <c r="P97" s="4"/>
      <c r="Q97" s="4"/>
      <c r="R97" s="12">
        <f>IF(P$12=0,0,P97/P$12)</f>
        <v>0</v>
      </c>
      <c r="S97" s="4"/>
      <c r="T97" s="4"/>
      <c r="U97" s="4"/>
      <c r="V97" s="12">
        <f>IF(T$12=0,0,T97/T$12)</f>
        <v>0</v>
      </c>
      <c r="W97" s="4"/>
      <c r="X97" s="4">
        <f>+P97-T97</f>
        <v>0</v>
      </c>
      <c r="Y97" s="4"/>
      <c r="Z97" s="12">
        <f>IF(T97=0,0,X97/T97)</f>
        <v>0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5" t="s">
        <v>126</v>
      </c>
      <c r="C99" s="25"/>
      <c r="D99" s="33">
        <f>+D95-D97</f>
        <v>-214039.08999999994</v>
      </c>
      <c r="E99" s="13"/>
      <c r="F99" s="31">
        <f>IF(D$12=0,0,D99/D$12)</f>
        <v>0</v>
      </c>
      <c r="G99" s="13"/>
      <c r="H99" s="33">
        <f>+H95-H97</f>
        <v>-244376.06359984001</v>
      </c>
      <c r="I99" s="13"/>
      <c r="J99" s="31">
        <f>IF(H$12=0,0,H99/H$12)</f>
        <v>0</v>
      </c>
      <c r="K99" s="16"/>
      <c r="L99" s="33">
        <f>D99-H99</f>
        <v>30336.973599840072</v>
      </c>
      <c r="M99" s="16"/>
      <c r="N99" s="31">
        <f>IF(H99=0,0,L99/H99)</f>
        <v>-0.12414052813910671</v>
      </c>
      <c r="O99" s="26"/>
      <c r="P99" s="33">
        <f>+P95-P97</f>
        <v>-661244.69999999995</v>
      </c>
      <c r="Q99" s="13"/>
      <c r="R99" s="31">
        <f>IF(P$12=0,0,P99/P$12)</f>
        <v>0</v>
      </c>
      <c r="S99" s="13"/>
      <c r="T99" s="33">
        <f>+T95-T97</f>
        <v>-760298.29869947978</v>
      </c>
      <c r="U99" s="13"/>
      <c r="V99" s="31">
        <f>IF(T$12=0,0,T99/T$12)</f>
        <v>0</v>
      </c>
      <c r="W99" s="16"/>
      <c r="X99" s="33">
        <f>P99-T99</f>
        <v>99053.59869947983</v>
      </c>
      <c r="Y99" s="16"/>
      <c r="Z99" s="31">
        <f>IF(T99=0,0,X99/T99)</f>
        <v>-0.13028254682262858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5" t="s">
        <v>294</v>
      </c>
      <c r="C102" s="25"/>
      <c r="D102" s="35">
        <f>SUM(D99:D101)</f>
        <v>-214039.08999999994</v>
      </c>
      <c r="E102" s="13"/>
      <c r="F102" s="34">
        <f>IF(D$12=0,0,D102/D$12)</f>
        <v>0</v>
      </c>
      <c r="G102" s="13"/>
      <c r="H102" s="35">
        <f>SUM(H99:H101)</f>
        <v>-244376.06359984001</v>
      </c>
      <c r="I102" s="13"/>
      <c r="J102" s="34">
        <f>IF(H$12=0,0,H102/H$12)</f>
        <v>0</v>
      </c>
      <c r="K102" s="16"/>
      <c r="L102" s="35">
        <f>+D102-H102</f>
        <v>30336.973599840072</v>
      </c>
      <c r="M102" s="16"/>
      <c r="N102" s="34">
        <f>IF(H102=0,0,L102/H102)</f>
        <v>-0.12414052813910671</v>
      </c>
      <c r="O102" s="26"/>
      <c r="P102" s="35">
        <f>SUM(P99:P101)</f>
        <v>-661244.69999999995</v>
      </c>
      <c r="Q102" s="13"/>
      <c r="R102" s="34">
        <f>IF(P$12=0,0,P102/P$12)</f>
        <v>0</v>
      </c>
      <c r="S102" s="13"/>
      <c r="T102" s="35">
        <f>SUM(T99:T101)</f>
        <v>-760298.29869947978</v>
      </c>
      <c r="U102" s="13"/>
      <c r="V102" s="34">
        <f>IF(T$12=0,0,T102/T$12)</f>
        <v>0</v>
      </c>
      <c r="W102" s="16"/>
      <c r="X102" s="35">
        <f>+P102-T102</f>
        <v>99053.59869947983</v>
      </c>
      <c r="Y102" s="16"/>
      <c r="Z102" s="34">
        <f>IF(T102=0,0,X102/T102)</f>
        <v>-0.13028254682262858</v>
      </c>
    </row>
    <row r="103" spans="1:26" ht="15.75" thickTop="1" x14ac:dyDescent="0.25">
      <c r="A103" s="9"/>
      <c r="C103" s="9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A104" s="9"/>
      <c r="B104" s="61">
        <v>44481.978918402776</v>
      </c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A105" s="9"/>
      <c r="B105" s="56" t="s">
        <v>56</v>
      </c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54"/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","200", " - ", "Corporate Expense")</f>
        <v>Department 200 - Corporate Expense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108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295</v>
      </c>
      <c r="C18" s="10"/>
      <c r="D18" s="22">
        <f>SUM(OSRRefD22x_0)</f>
        <v>29742.210000000003</v>
      </c>
      <c r="E18" s="22"/>
      <c r="F18" s="32">
        <f t="shared" ref="F18:F27" si="0">IF(D$12=0,0,D18/D$12)</f>
        <v>0</v>
      </c>
      <c r="G18" s="22"/>
      <c r="H18" s="22">
        <f>SUM(OSRRefH22x_0)</f>
        <v>38508</v>
      </c>
      <c r="I18" s="22"/>
      <c r="J18" s="32">
        <f t="shared" ref="J18:J27" si="1">IF(H$12=0,0,H18/H$12)</f>
        <v>0</v>
      </c>
      <c r="K18" s="4"/>
      <c r="L18" s="22">
        <f t="shared" ref="L18:L27" si="2">+D18-H18</f>
        <v>-8765.7899999999972</v>
      </c>
      <c r="M18" s="4"/>
      <c r="N18" s="32">
        <f t="shared" ref="N18:N27" si="3">IF(H18=0,0,L18/H18)</f>
        <v>-0.22763555624805229</v>
      </c>
      <c r="O18" s="10"/>
      <c r="P18" s="22">
        <f>SUM(OSRRefP22x_0)</f>
        <v>98446.7</v>
      </c>
      <c r="Q18" s="22"/>
      <c r="R18" s="32">
        <f t="shared" ref="R18:R27" si="4">IF(P$12=0,0,P18/P$12)</f>
        <v>0</v>
      </c>
      <c r="S18" s="22"/>
      <c r="T18" s="22">
        <f>SUM(OSRRefT22x_0)</f>
        <v>128524</v>
      </c>
      <c r="U18" s="22"/>
      <c r="V18" s="32">
        <f t="shared" ref="V18:V27" si="5">IF(T$12=0,0,T18/T$12)</f>
        <v>0</v>
      </c>
      <c r="W18" s="4"/>
      <c r="X18" s="22">
        <f t="shared" ref="X18:X27" si="6">+P18-T18</f>
        <v>-30077.300000000003</v>
      </c>
      <c r="Y18" s="4"/>
      <c r="Z18" s="32">
        <f t="shared" ref="Z18:Z27" si="7">IF(T18=0,0,X18/T18)</f>
        <v>-0.23402088325915785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28310.06</v>
      </c>
      <c r="E19" s="1"/>
      <c r="F19" s="5">
        <f t="shared" si="0"/>
        <v>0</v>
      </c>
      <c r="G19" s="1"/>
      <c r="H19" s="1">
        <f>SUM(OSRRefH22_0x_0)</f>
        <v>35000</v>
      </c>
      <c r="I19" s="1"/>
      <c r="J19" s="5">
        <f t="shared" si="1"/>
        <v>0</v>
      </c>
      <c r="K19" s="1"/>
      <c r="L19" s="1">
        <f t="shared" si="2"/>
        <v>-6689.9399999999987</v>
      </c>
      <c r="M19" s="1"/>
      <c r="N19" s="5">
        <f t="shared" si="3"/>
        <v>-0.19114114285714282</v>
      </c>
      <c r="O19" s="14"/>
      <c r="P19" s="1">
        <f>SUM(OSRRefP22_0x_0)</f>
        <v>82421.179999999993</v>
      </c>
      <c r="Q19" s="1"/>
      <c r="R19" s="5">
        <f t="shared" si="4"/>
        <v>0</v>
      </c>
      <c r="S19" s="1"/>
      <c r="T19" s="1">
        <f>SUM(OSRRefT22_0x_0)</f>
        <v>105000</v>
      </c>
      <c r="U19" s="1"/>
      <c r="V19" s="5">
        <f t="shared" si="5"/>
        <v>0</v>
      </c>
      <c r="W19" s="1"/>
      <c r="X19" s="1">
        <f t="shared" si="6"/>
        <v>-22578.820000000007</v>
      </c>
      <c r="Y19" s="1"/>
      <c r="Z19" s="5">
        <f t="shared" si="7"/>
        <v>-0.21503638095238101</v>
      </c>
    </row>
    <row r="20" spans="1:26" s="24" customFormat="1" hidden="1" outlineLevel="2" x14ac:dyDescent="0.25">
      <c r="A20" s="29"/>
      <c r="B20" s="11" t="str">
        <f>CONCATENATE("          ", "6120", " - ", "RETIREES HEALTH INSURANCE")</f>
        <v xml:space="preserve">          6120 - RETIREES HEALTH INSURANCE</v>
      </c>
      <c r="C20" s="11"/>
      <c r="D20" s="7">
        <v>28310.06</v>
      </c>
      <c r="E20" s="2"/>
      <c r="F20" s="6">
        <f t="shared" si="0"/>
        <v>0</v>
      </c>
      <c r="G20" s="2"/>
      <c r="H20" s="7">
        <v>35000</v>
      </c>
      <c r="I20" s="2"/>
      <c r="J20" s="6">
        <f t="shared" si="1"/>
        <v>0</v>
      </c>
      <c r="K20" s="2"/>
      <c r="L20" s="7">
        <f t="shared" si="2"/>
        <v>-6689.9399999999987</v>
      </c>
      <c r="M20" s="2"/>
      <c r="N20" s="6">
        <f t="shared" si="3"/>
        <v>-0.19114114285714282</v>
      </c>
      <c r="O20" s="11"/>
      <c r="P20" s="7">
        <v>82421.179999999993</v>
      </c>
      <c r="Q20" s="2"/>
      <c r="R20" s="6">
        <f t="shared" si="4"/>
        <v>0</v>
      </c>
      <c r="S20" s="2"/>
      <c r="T20" s="7">
        <v>105000</v>
      </c>
      <c r="U20" s="2"/>
      <c r="V20" s="6">
        <f t="shared" si="5"/>
        <v>0</v>
      </c>
      <c r="W20" s="2"/>
      <c r="X20" s="7">
        <f t="shared" si="6"/>
        <v>-22578.820000000007</v>
      </c>
      <c r="Y20" s="2"/>
      <c r="Z20" s="6">
        <f t="shared" si="7"/>
        <v>-0.21503638095238101</v>
      </c>
    </row>
    <row r="21" spans="1:26" s="28" customFormat="1" outlineLevel="1" collapsed="1" x14ac:dyDescent="0.25">
      <c r="A21" s="27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7</v>
      </c>
      <c r="E21" s="1"/>
      <c r="F21" s="5">
        <f t="shared" si="0"/>
        <v>0</v>
      </c>
      <c r="G21" s="1"/>
      <c r="H21" s="1">
        <f>SUM(OSRRefH22_1x_0)</f>
        <v>2000</v>
      </c>
      <c r="I21" s="1"/>
      <c r="J21" s="5">
        <f t="shared" si="1"/>
        <v>0</v>
      </c>
      <c r="K21" s="1"/>
      <c r="L21" s="1">
        <f t="shared" si="2"/>
        <v>-1993</v>
      </c>
      <c r="M21" s="1"/>
      <c r="N21" s="5">
        <f t="shared" si="3"/>
        <v>-0.99650000000000005</v>
      </c>
      <c r="O21" s="14"/>
      <c r="P21" s="1">
        <f>SUM(OSRRefP22_1x_0)</f>
        <v>2363.86</v>
      </c>
      <c r="Q21" s="1"/>
      <c r="R21" s="5">
        <f t="shared" si="4"/>
        <v>0</v>
      </c>
      <c r="S21" s="1"/>
      <c r="T21" s="1">
        <f>SUM(OSRRefT22_1x_0)</f>
        <v>5000</v>
      </c>
      <c r="U21" s="1"/>
      <c r="V21" s="5">
        <f t="shared" si="5"/>
        <v>0</v>
      </c>
      <c r="W21" s="1"/>
      <c r="X21" s="1">
        <f t="shared" si="6"/>
        <v>-2636.14</v>
      </c>
      <c r="Y21" s="1"/>
      <c r="Z21" s="5">
        <f t="shared" si="7"/>
        <v>-0.52722800000000003</v>
      </c>
    </row>
    <row r="22" spans="1:26" s="24" customFormat="1" hidden="1" outlineLevel="2" x14ac:dyDescent="0.25">
      <c r="A22" s="29"/>
      <c r="B22" s="11" t="str">
        <f>CONCATENATE("          ", "6381", " - ", "BANK/CREDIT CARD FEES")</f>
        <v xml:space="preserve">          6381 - BANK/CREDIT CARD FEES</v>
      </c>
      <c r="C22" s="11"/>
      <c r="D22" s="7">
        <v>7</v>
      </c>
      <c r="E22" s="2"/>
      <c r="F22" s="6">
        <f t="shared" si="0"/>
        <v>0</v>
      </c>
      <c r="G22" s="2"/>
      <c r="H22" s="7">
        <v>2000</v>
      </c>
      <c r="I22" s="2"/>
      <c r="J22" s="6">
        <f t="shared" si="1"/>
        <v>0</v>
      </c>
      <c r="K22" s="2"/>
      <c r="L22" s="7">
        <f t="shared" si="2"/>
        <v>-1993</v>
      </c>
      <c r="M22" s="2"/>
      <c r="N22" s="6">
        <f t="shared" si="3"/>
        <v>-0.99650000000000005</v>
      </c>
      <c r="O22" s="11"/>
      <c r="P22" s="7">
        <v>2363.86</v>
      </c>
      <c r="Q22" s="2"/>
      <c r="R22" s="6">
        <f t="shared" si="4"/>
        <v>0</v>
      </c>
      <c r="S22" s="2"/>
      <c r="T22" s="7">
        <v>5000</v>
      </c>
      <c r="U22" s="2"/>
      <c r="V22" s="6">
        <f t="shared" si="5"/>
        <v>0</v>
      </c>
      <c r="W22" s="2"/>
      <c r="X22" s="7">
        <f t="shared" si="6"/>
        <v>-2636.14</v>
      </c>
      <c r="Y22" s="2"/>
      <c r="Z22" s="6">
        <f t="shared" si="7"/>
        <v>-0.52722800000000003</v>
      </c>
    </row>
    <row r="23" spans="1:26" s="28" customFormat="1" outlineLevel="1" collapsed="1" x14ac:dyDescent="0.25">
      <c r="A23" s="27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1425.15</v>
      </c>
      <c r="E23" s="1"/>
      <c r="F23" s="5">
        <f t="shared" si="0"/>
        <v>0</v>
      </c>
      <c r="G23" s="1"/>
      <c r="H23" s="1">
        <f>SUM(OSRRefH22_2x_0)</f>
        <v>1508</v>
      </c>
      <c r="I23" s="1"/>
      <c r="J23" s="5">
        <f t="shared" si="1"/>
        <v>0</v>
      </c>
      <c r="K23" s="1"/>
      <c r="L23" s="1">
        <f t="shared" si="2"/>
        <v>-82.849999999999909</v>
      </c>
      <c r="M23" s="1"/>
      <c r="N23" s="5">
        <f t="shared" si="3"/>
        <v>-5.4940318302387207E-2</v>
      </c>
      <c r="O23" s="14"/>
      <c r="P23" s="1">
        <f>SUM(OSRRefP22_2x_0)</f>
        <v>3323.91</v>
      </c>
      <c r="Q23" s="1"/>
      <c r="R23" s="5">
        <f t="shared" si="4"/>
        <v>0</v>
      </c>
      <c r="S23" s="1"/>
      <c r="T23" s="1">
        <f>SUM(OSRRefT22_2x_0)</f>
        <v>2524</v>
      </c>
      <c r="U23" s="1"/>
      <c r="V23" s="5">
        <f t="shared" si="5"/>
        <v>0</v>
      </c>
      <c r="W23" s="1"/>
      <c r="X23" s="1">
        <f t="shared" si="6"/>
        <v>799.90999999999985</v>
      </c>
      <c r="Y23" s="1"/>
      <c r="Z23" s="5">
        <f t="shared" si="7"/>
        <v>0.31692155309033276</v>
      </c>
    </row>
    <row r="24" spans="1:26" s="24" customFormat="1" hidden="1" outlineLevel="2" x14ac:dyDescent="0.25">
      <c r="A24" s="29"/>
      <c r="B24" s="11" t="str">
        <f>CONCATENATE("          ", "6397", " - ", "BOARD EXPENSES")</f>
        <v xml:space="preserve">          6397 - BOARD EXPENSES</v>
      </c>
      <c r="C24" s="11"/>
      <c r="D24" s="7">
        <v>1425.15</v>
      </c>
      <c r="E24" s="2"/>
      <c r="F24" s="6">
        <f t="shared" si="0"/>
        <v>0</v>
      </c>
      <c r="G24" s="2"/>
      <c r="H24" s="7">
        <v>1508</v>
      </c>
      <c r="I24" s="2"/>
      <c r="J24" s="6">
        <f t="shared" si="1"/>
        <v>0</v>
      </c>
      <c r="K24" s="2"/>
      <c r="L24" s="7">
        <f t="shared" si="2"/>
        <v>-82.849999999999909</v>
      </c>
      <c r="M24" s="2"/>
      <c r="N24" s="6">
        <f t="shared" si="3"/>
        <v>-5.4940318302387207E-2</v>
      </c>
      <c r="O24" s="11"/>
      <c r="P24" s="7">
        <v>3323.91</v>
      </c>
      <c r="Q24" s="2"/>
      <c r="R24" s="6">
        <f t="shared" si="4"/>
        <v>0</v>
      </c>
      <c r="S24" s="2"/>
      <c r="T24" s="7">
        <v>2524</v>
      </c>
      <c r="U24" s="2"/>
      <c r="V24" s="6">
        <f t="shared" si="5"/>
        <v>0</v>
      </c>
      <c r="W24" s="2"/>
      <c r="X24" s="7">
        <f t="shared" si="6"/>
        <v>799.90999999999985</v>
      </c>
      <c r="Y24" s="2"/>
      <c r="Z24" s="6">
        <f t="shared" si="7"/>
        <v>0.31692155309033276</v>
      </c>
    </row>
    <row r="25" spans="1:26" s="28" customFormat="1" outlineLevel="1" collapsed="1" x14ac:dyDescent="0.25">
      <c r="A25" s="27"/>
      <c r="B25" s="14" t="str">
        <f>CONCATENATE("     ","Professional Services                             ")</f>
        <v xml:space="preserve">     Professional Services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10337.75</v>
      </c>
      <c r="Q25" s="1"/>
      <c r="R25" s="5">
        <f t="shared" si="4"/>
        <v>0</v>
      </c>
      <c r="S25" s="1"/>
      <c r="T25" s="1">
        <f>SUM(OSRRefT22_3x_0)</f>
        <v>16000</v>
      </c>
      <c r="U25" s="1"/>
      <c r="V25" s="5">
        <f t="shared" si="5"/>
        <v>0</v>
      </c>
      <c r="W25" s="1"/>
      <c r="X25" s="1">
        <f t="shared" si="6"/>
        <v>-5662.25</v>
      </c>
      <c r="Y25" s="1"/>
      <c r="Z25" s="5">
        <f t="shared" si="7"/>
        <v>-0.35389062500000001</v>
      </c>
    </row>
    <row r="26" spans="1:26" s="24" customFormat="1" hidden="1" outlineLevel="2" x14ac:dyDescent="0.25">
      <c r="A26" s="29"/>
      <c r="B26" s="11" t="str">
        <f>CONCATENATE("          ", "6331", " - ", "INDIRECT COSTS-AUXILIARY ORGAN")</f>
        <v xml:space="preserve">          6331 - INDIRECT COSTS-AUXILIARY ORGAN</v>
      </c>
      <c r="C26" s="11"/>
      <c r="D26" s="7"/>
      <c r="E26" s="2"/>
      <c r="F26" s="6">
        <f t="shared" si="0"/>
        <v>0</v>
      </c>
      <c r="G26" s="2"/>
      <c r="H26" s="7">
        <v>0</v>
      </c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10337.75</v>
      </c>
      <c r="Q26" s="2"/>
      <c r="R26" s="6">
        <f t="shared" si="4"/>
        <v>0</v>
      </c>
      <c r="S26" s="2"/>
      <c r="T26" s="7">
        <v>13000</v>
      </c>
      <c r="U26" s="2"/>
      <c r="V26" s="6">
        <f t="shared" si="5"/>
        <v>0</v>
      </c>
      <c r="W26" s="2"/>
      <c r="X26" s="7">
        <f t="shared" si="6"/>
        <v>-2662.25</v>
      </c>
      <c r="Y26" s="2"/>
      <c r="Z26" s="6">
        <f t="shared" si="7"/>
        <v>-0.20478846153846153</v>
      </c>
    </row>
    <row r="27" spans="1:26" s="24" customFormat="1" hidden="1" outlineLevel="2" x14ac:dyDescent="0.25">
      <c r="A27" s="29"/>
      <c r="B27" s="11" t="str">
        <f>CONCATENATE("          ", "6332", " - ", "CONSULTANT FEES")</f>
        <v xml:space="preserve">          6332 - CONSULTANT FEES</v>
      </c>
      <c r="C27" s="11"/>
      <c r="D27" s="7"/>
      <c r="E27" s="2"/>
      <c r="F27" s="6">
        <f t="shared" si="0"/>
        <v>0</v>
      </c>
      <c r="G27" s="2"/>
      <c r="H27" s="7"/>
      <c r="I27" s="2"/>
      <c r="J27" s="6">
        <f t="shared" si="1"/>
        <v>0</v>
      </c>
      <c r="K27" s="2"/>
      <c r="L27" s="7">
        <f t="shared" si="2"/>
        <v>0</v>
      </c>
      <c r="M27" s="2"/>
      <c r="N27" s="6">
        <f t="shared" si="3"/>
        <v>0</v>
      </c>
      <c r="O27" s="11"/>
      <c r="P27" s="7"/>
      <c r="Q27" s="2"/>
      <c r="R27" s="6">
        <f t="shared" si="4"/>
        <v>0</v>
      </c>
      <c r="S27" s="2"/>
      <c r="T27" s="7">
        <v>3000</v>
      </c>
      <c r="U27" s="2"/>
      <c r="V27" s="6">
        <f t="shared" si="5"/>
        <v>0</v>
      </c>
      <c r="W27" s="2"/>
      <c r="X27" s="7">
        <f t="shared" si="6"/>
        <v>-3000</v>
      </c>
      <c r="Y27" s="2"/>
      <c r="Z27" s="6">
        <f t="shared" si="7"/>
        <v>-1</v>
      </c>
    </row>
    <row r="28" spans="1:26" s="58" customFormat="1" x14ac:dyDescent="0.25">
      <c r="A28" s="36"/>
      <c r="B28" s="36"/>
      <c r="C28" s="36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6" t="s">
        <v>293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5" t="s">
        <v>277</v>
      </c>
      <c r="C31" s="25"/>
      <c r="D31" s="21">
        <f>+D16-D18+D29</f>
        <v>-29742.210000000003</v>
      </c>
      <c r="E31" s="13"/>
      <c r="F31" s="20">
        <f>IF(D$12=0,0,D31/D$12)</f>
        <v>0</v>
      </c>
      <c r="G31" s="13"/>
      <c r="H31" s="21">
        <f>+H16-H18+H29</f>
        <v>-38508</v>
      </c>
      <c r="I31" s="13"/>
      <c r="J31" s="20">
        <f>IF(H$12=0,0,H31/H$12)</f>
        <v>0</v>
      </c>
      <c r="K31" s="16"/>
      <c r="L31" s="21">
        <f>+D31-H31</f>
        <v>8765.7899999999972</v>
      </c>
      <c r="M31" s="16"/>
      <c r="N31" s="20">
        <f>IF(H31=0,0,L31/H31)</f>
        <v>-0.22763555624805229</v>
      </c>
      <c r="O31" s="26"/>
      <c r="P31" s="21">
        <f>+P16-P18+P29</f>
        <v>-98446.7</v>
      </c>
      <c r="Q31" s="13"/>
      <c r="R31" s="20">
        <f>IF(P$12=0,0,P31/P$12)</f>
        <v>0</v>
      </c>
      <c r="S31" s="13"/>
      <c r="T31" s="21">
        <f>+T16-T18+T29</f>
        <v>-128524</v>
      </c>
      <c r="U31" s="13"/>
      <c r="V31" s="20">
        <f>IF(T$12=0,0,T31/T$12)</f>
        <v>0</v>
      </c>
      <c r="W31" s="16"/>
      <c r="X31" s="21">
        <f>+P31-T31</f>
        <v>30077.300000000003</v>
      </c>
      <c r="Y31" s="16"/>
      <c r="Z31" s="20">
        <f>IF(T31=0,0,X31/T31)</f>
        <v>-0.23402088325915785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128</v>
      </c>
      <c r="C33" s="10"/>
      <c r="D33" s="4"/>
      <c r="E33" s="4"/>
      <c r="F33" s="12">
        <f>IF(D$12=0,0,D33/D$12)</f>
        <v>0</v>
      </c>
      <c r="G33" s="4"/>
      <c r="H33" s="4"/>
      <c r="I33" s="4"/>
      <c r="J33" s="12">
        <f>IF(H$12=0,0,H33/H$12)</f>
        <v>0</v>
      </c>
      <c r="K33" s="4"/>
      <c r="L33" s="4">
        <f>+D33-H33</f>
        <v>0</v>
      </c>
      <c r="M33" s="4"/>
      <c r="N33" s="12">
        <f>IF(H33=0,0,L33/H33)</f>
        <v>0</v>
      </c>
      <c r="O33" s="10"/>
      <c r="P33" s="4"/>
      <c r="Q33" s="4"/>
      <c r="R33" s="12">
        <f>IF(P$12=0,0,P33/P$12)</f>
        <v>0</v>
      </c>
      <c r="S33" s="4"/>
      <c r="T33" s="4"/>
      <c r="U33" s="4"/>
      <c r="V33" s="12">
        <f>IF(T$12=0,0,T33/T$12)</f>
        <v>0</v>
      </c>
      <c r="W33" s="4"/>
      <c r="X33" s="4">
        <f>+P33-T33</f>
        <v>0</v>
      </c>
      <c r="Y33" s="4"/>
      <c r="Z33" s="12">
        <f>IF(T33=0,0,X33/T33)</f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5" t="s">
        <v>126</v>
      </c>
      <c r="C35" s="25"/>
      <c r="D35" s="33">
        <f>+D31-D33</f>
        <v>-29742.210000000003</v>
      </c>
      <c r="E35" s="13"/>
      <c r="F35" s="31">
        <f>IF(D$12=0,0,D35/D$12)</f>
        <v>0</v>
      </c>
      <c r="G35" s="13"/>
      <c r="H35" s="33">
        <f>+H31-H33</f>
        <v>-38508</v>
      </c>
      <c r="I35" s="13"/>
      <c r="J35" s="31">
        <f>IF(H$12=0,0,H35/H$12)</f>
        <v>0</v>
      </c>
      <c r="K35" s="16"/>
      <c r="L35" s="33">
        <f>D35-H35</f>
        <v>8765.7899999999972</v>
      </c>
      <c r="M35" s="16"/>
      <c r="N35" s="31">
        <f>IF(H35=0,0,L35/H35)</f>
        <v>-0.22763555624805229</v>
      </c>
      <c r="O35" s="26"/>
      <c r="P35" s="33">
        <f>+P31-P33</f>
        <v>-98446.7</v>
      </c>
      <c r="Q35" s="13"/>
      <c r="R35" s="31">
        <f>IF(P$12=0,0,P35/P$12)</f>
        <v>0</v>
      </c>
      <c r="S35" s="13"/>
      <c r="T35" s="33">
        <f>+T31-T33</f>
        <v>-128524</v>
      </c>
      <c r="U35" s="13"/>
      <c r="V35" s="31">
        <f>IF(T$12=0,0,T35/T$12)</f>
        <v>0</v>
      </c>
      <c r="W35" s="16"/>
      <c r="X35" s="33">
        <f>P35-T35</f>
        <v>30077.300000000003</v>
      </c>
      <c r="Y35" s="16"/>
      <c r="Z35" s="31">
        <f>IF(T35=0,0,X35/T35)</f>
        <v>-0.23402088325915785</v>
      </c>
    </row>
    <row r="36" spans="1:26" ht="15.75" thickTop="1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.75" thickBot="1" x14ac:dyDescent="0.3">
      <c r="A38" s="10"/>
      <c r="B38" s="25" t="s">
        <v>294</v>
      </c>
      <c r="C38" s="25"/>
      <c r="D38" s="35">
        <f>SUM(D35:D37)</f>
        <v>-29742.210000000003</v>
      </c>
      <c r="E38" s="13"/>
      <c r="F38" s="34">
        <f>IF(D$12=0,0,D38/D$12)</f>
        <v>0</v>
      </c>
      <c r="G38" s="13"/>
      <c r="H38" s="35">
        <f>SUM(H35:H37)</f>
        <v>-38508</v>
      </c>
      <c r="I38" s="13"/>
      <c r="J38" s="34">
        <f>IF(H$12=0,0,H38/H$12)</f>
        <v>0</v>
      </c>
      <c r="K38" s="16"/>
      <c r="L38" s="35">
        <f>+D38-H38</f>
        <v>8765.7899999999972</v>
      </c>
      <c r="M38" s="16"/>
      <c r="N38" s="34">
        <f>IF(H38=0,0,L38/H38)</f>
        <v>-0.22763555624805229</v>
      </c>
      <c r="O38" s="26"/>
      <c r="P38" s="35">
        <f>SUM(P35:P37)</f>
        <v>-98446.7</v>
      </c>
      <c r="Q38" s="13"/>
      <c r="R38" s="34">
        <f>IF(P$12=0,0,P38/P$12)</f>
        <v>0</v>
      </c>
      <c r="S38" s="13"/>
      <c r="T38" s="35">
        <f>SUM(T35:T37)</f>
        <v>-128524</v>
      </c>
      <c r="U38" s="13"/>
      <c r="V38" s="34">
        <f>IF(T$12=0,0,T38/T$12)</f>
        <v>0</v>
      </c>
      <c r="W38" s="16"/>
      <c r="X38" s="35">
        <f>+P38-T38</f>
        <v>30077.300000000003</v>
      </c>
      <c r="Y38" s="16"/>
      <c r="Z38" s="34">
        <f>IF(T38=0,0,X38/T38)</f>
        <v>-0.23402088325915785</v>
      </c>
    </row>
    <row r="39" spans="1:26" ht="15.75" thickTop="1" x14ac:dyDescent="0.25">
      <c r="A39" s="9"/>
      <c r="C39" s="9"/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>
        <v>44481.978956793981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56" t="s">
        <v>56</v>
      </c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A42" s="9"/>
      <c r="B42" s="54"/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25"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","201", " - ", "General Manager")</f>
        <v>Department 201 - General Manager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108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295</v>
      </c>
      <c r="C18" s="10"/>
      <c r="D18" s="22">
        <f>SUM(OSRRefD22x_0)</f>
        <v>43782.289999999994</v>
      </c>
      <c r="E18" s="22"/>
      <c r="F18" s="32">
        <f t="shared" ref="F18:F28" si="0">IF(D$12=0,0,D18/D$12)</f>
        <v>0</v>
      </c>
      <c r="G18" s="22"/>
      <c r="H18" s="22">
        <f>SUM(OSRRefH22x_0)</f>
        <v>52542.382430769183</v>
      </c>
      <c r="I18" s="22"/>
      <c r="J18" s="32">
        <f t="shared" ref="J18:J28" si="1">IF(H$12=0,0,H18/H$12)</f>
        <v>0</v>
      </c>
      <c r="K18" s="4"/>
      <c r="L18" s="22">
        <f t="shared" ref="L18:L28" si="2">+D18-H18</f>
        <v>-8760.0924307691894</v>
      </c>
      <c r="M18" s="4"/>
      <c r="N18" s="32">
        <f t="shared" ref="N18:N28" si="3">IF(H18=0,0,L18/H18)</f>
        <v>-0.16672430950978764</v>
      </c>
      <c r="O18" s="10"/>
      <c r="P18" s="22">
        <f>SUM(OSRRefP22x_0)</f>
        <v>108138.82</v>
      </c>
      <c r="Q18" s="22"/>
      <c r="R18" s="32">
        <f t="shared" ref="R18:R28" si="4">IF(P$12=0,0,P18/P$12)</f>
        <v>0</v>
      </c>
      <c r="S18" s="22"/>
      <c r="T18" s="22">
        <f>SUM(OSRRefT22x_0)</f>
        <v>143107.2428999999</v>
      </c>
      <c r="U18" s="22"/>
      <c r="V18" s="32">
        <f t="shared" ref="V18:V28" si="5">IF(T$12=0,0,T18/T$12)</f>
        <v>0</v>
      </c>
      <c r="W18" s="4"/>
      <c r="X18" s="22">
        <f t="shared" ref="X18:X28" si="6">+P18-T18</f>
        <v>-34968.422899999889</v>
      </c>
      <c r="Y18" s="4"/>
      <c r="Z18" s="32">
        <f t="shared" ref="Z18:Z28" si="7">IF(T18=0,0,X18/T18)</f>
        <v>-0.24435117462527758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10533.919999999998</v>
      </c>
      <c r="E19" s="1"/>
      <c r="F19" s="5">
        <f t="shared" si="0"/>
        <v>0</v>
      </c>
      <c r="G19" s="1"/>
      <c r="H19" s="1">
        <f>SUM(OSRRefH22_0x_0)</f>
        <v>8338.1208923076883</v>
      </c>
      <c r="I19" s="1"/>
      <c r="J19" s="5">
        <f t="shared" si="1"/>
        <v>0</v>
      </c>
      <c r="K19" s="1"/>
      <c r="L19" s="1">
        <f t="shared" si="2"/>
        <v>2195.7991076923099</v>
      </c>
      <c r="M19" s="1"/>
      <c r="N19" s="5">
        <f t="shared" si="3"/>
        <v>0.26334459958694512</v>
      </c>
      <c r="O19" s="14"/>
      <c r="P19" s="1">
        <f>SUM(OSRRefP22_0x_0)</f>
        <v>31122.149999999994</v>
      </c>
      <c r="Q19" s="1"/>
      <c r="R19" s="5">
        <f t="shared" si="4"/>
        <v>0</v>
      </c>
      <c r="S19" s="1"/>
      <c r="T19" s="1">
        <f>SUM(OSRRefT22_0x_0)</f>
        <v>26071.642899999992</v>
      </c>
      <c r="U19" s="1"/>
      <c r="V19" s="5">
        <f t="shared" si="5"/>
        <v>0</v>
      </c>
      <c r="W19" s="1"/>
      <c r="X19" s="1">
        <f t="shared" si="6"/>
        <v>5050.5071000000025</v>
      </c>
      <c r="Y19" s="1"/>
      <c r="Z19" s="5">
        <f t="shared" si="7"/>
        <v>0.19371648803919464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1454.4</v>
      </c>
      <c r="E20" s="2"/>
      <c r="F20" s="6">
        <f t="shared" si="0"/>
        <v>0</v>
      </c>
      <c r="G20" s="2"/>
      <c r="H20" s="7">
        <v>1430.0513538461501</v>
      </c>
      <c r="I20" s="2"/>
      <c r="J20" s="6">
        <f t="shared" si="1"/>
        <v>0</v>
      </c>
      <c r="K20" s="2"/>
      <c r="L20" s="7">
        <f t="shared" si="2"/>
        <v>24.348646153850041</v>
      </c>
      <c r="M20" s="2"/>
      <c r="N20" s="6">
        <f t="shared" si="3"/>
        <v>1.7026413833575903E-2</v>
      </c>
      <c r="O20" s="11"/>
      <c r="P20" s="7">
        <v>4357.46</v>
      </c>
      <c r="Q20" s="2"/>
      <c r="R20" s="6">
        <f t="shared" si="4"/>
        <v>0</v>
      </c>
      <c r="S20" s="2"/>
      <c r="T20" s="7">
        <v>4647.6668999999902</v>
      </c>
      <c r="U20" s="2"/>
      <c r="V20" s="6">
        <f t="shared" si="5"/>
        <v>0</v>
      </c>
      <c r="W20" s="2"/>
      <c r="X20" s="7">
        <f t="shared" si="6"/>
        <v>-290.20689999999013</v>
      </c>
      <c r="Y20" s="2"/>
      <c r="Z20" s="6">
        <f t="shared" si="7"/>
        <v>-6.244141549816979E-2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245.25</v>
      </c>
      <c r="E21" s="2"/>
      <c r="F21" s="6">
        <f t="shared" si="0"/>
        <v>0</v>
      </c>
      <c r="G21" s="2"/>
      <c r="H21" s="7">
        <v>57.927076923076903</v>
      </c>
      <c r="I21" s="2"/>
      <c r="J21" s="6">
        <f t="shared" si="1"/>
        <v>0</v>
      </c>
      <c r="K21" s="2"/>
      <c r="L21" s="7">
        <f t="shared" si="2"/>
        <v>187.3229230769231</v>
      </c>
      <c r="M21" s="2"/>
      <c r="N21" s="6">
        <f t="shared" si="3"/>
        <v>3.2337713730260345</v>
      </c>
      <c r="O21" s="11"/>
      <c r="P21" s="7">
        <v>734.78</v>
      </c>
      <c r="Q21" s="2"/>
      <c r="R21" s="6">
        <f t="shared" si="4"/>
        <v>0</v>
      </c>
      <c r="S21" s="2"/>
      <c r="T21" s="7">
        <v>188.26300000000001</v>
      </c>
      <c r="U21" s="2"/>
      <c r="V21" s="6">
        <f t="shared" si="5"/>
        <v>0</v>
      </c>
      <c r="W21" s="2"/>
      <c r="X21" s="7">
        <f t="shared" si="6"/>
        <v>546.51699999999994</v>
      </c>
      <c r="Y21" s="2"/>
      <c r="Z21" s="6">
        <f t="shared" si="7"/>
        <v>2.9029442853879939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4108.09</v>
      </c>
      <c r="E22" s="2"/>
      <c r="F22" s="6">
        <f t="shared" si="0"/>
        <v>0</v>
      </c>
      <c r="G22" s="2"/>
      <c r="H22" s="7">
        <v>3359</v>
      </c>
      <c r="I22" s="2"/>
      <c r="J22" s="6">
        <f t="shared" si="1"/>
        <v>0</v>
      </c>
      <c r="K22" s="2"/>
      <c r="L22" s="7">
        <f t="shared" si="2"/>
        <v>749.09000000000015</v>
      </c>
      <c r="M22" s="2"/>
      <c r="N22" s="6">
        <f t="shared" si="3"/>
        <v>0.2230098243524859</v>
      </c>
      <c r="O22" s="11"/>
      <c r="P22" s="7">
        <v>11927.39</v>
      </c>
      <c r="Q22" s="2"/>
      <c r="R22" s="6">
        <f t="shared" si="4"/>
        <v>0</v>
      </c>
      <c r="S22" s="2"/>
      <c r="T22" s="7">
        <v>10077</v>
      </c>
      <c r="U22" s="2"/>
      <c r="V22" s="6">
        <f t="shared" si="5"/>
        <v>0</v>
      </c>
      <c r="W22" s="2"/>
      <c r="X22" s="7">
        <f t="shared" si="6"/>
        <v>1850.3899999999994</v>
      </c>
      <c r="Y22" s="2"/>
      <c r="Z22" s="6">
        <f t="shared" si="7"/>
        <v>0.18362508683139817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49.43</v>
      </c>
      <c r="E23" s="2"/>
      <c r="F23" s="6">
        <f t="shared" si="0"/>
        <v>0</v>
      </c>
      <c r="G23" s="2"/>
      <c r="H23" s="7">
        <v>39.240923076923103</v>
      </c>
      <c r="I23" s="2"/>
      <c r="J23" s="6">
        <f t="shared" si="1"/>
        <v>0</v>
      </c>
      <c r="K23" s="2"/>
      <c r="L23" s="7">
        <f t="shared" si="2"/>
        <v>10.189076923076897</v>
      </c>
      <c r="M23" s="2"/>
      <c r="N23" s="6">
        <f t="shared" si="3"/>
        <v>0.25965436396854064</v>
      </c>
      <c r="O23" s="11"/>
      <c r="P23" s="7">
        <v>148.1</v>
      </c>
      <c r="Q23" s="2"/>
      <c r="R23" s="6">
        <f t="shared" si="4"/>
        <v>0</v>
      </c>
      <c r="S23" s="2"/>
      <c r="T23" s="7">
        <v>127.533</v>
      </c>
      <c r="U23" s="2"/>
      <c r="V23" s="6">
        <f t="shared" si="5"/>
        <v>0</v>
      </c>
      <c r="W23" s="2"/>
      <c r="X23" s="7">
        <f t="shared" si="6"/>
        <v>20.566999999999993</v>
      </c>
      <c r="Y23" s="2"/>
      <c r="Z23" s="6">
        <f t="shared" si="7"/>
        <v>0.1612680639520751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2020.98</v>
      </c>
      <c r="E24" s="2"/>
      <c r="F24" s="6">
        <f t="shared" si="0"/>
        <v>0</v>
      </c>
      <c r="G24" s="2"/>
      <c r="H24" s="7">
        <v>1607.00923076923</v>
      </c>
      <c r="I24" s="2"/>
      <c r="J24" s="6">
        <f t="shared" si="1"/>
        <v>0</v>
      </c>
      <c r="K24" s="2"/>
      <c r="L24" s="7">
        <f t="shared" si="2"/>
        <v>413.97076923076997</v>
      </c>
      <c r="M24" s="2"/>
      <c r="N24" s="6">
        <f t="shared" si="3"/>
        <v>0.25760323046347022</v>
      </c>
      <c r="O24" s="11"/>
      <c r="P24" s="7">
        <v>6062.94</v>
      </c>
      <c r="Q24" s="2"/>
      <c r="R24" s="6">
        <f t="shared" si="4"/>
        <v>0</v>
      </c>
      <c r="S24" s="2"/>
      <c r="T24" s="7">
        <v>5222.78</v>
      </c>
      <c r="U24" s="2"/>
      <c r="V24" s="6">
        <f t="shared" si="5"/>
        <v>0</v>
      </c>
      <c r="W24" s="2"/>
      <c r="X24" s="7">
        <f t="shared" si="6"/>
        <v>840.15999999999985</v>
      </c>
      <c r="Y24" s="2"/>
      <c r="Z24" s="6">
        <f t="shared" si="7"/>
        <v>0.16086452042781813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1658.98</v>
      </c>
      <c r="E26" s="2"/>
      <c r="F26" s="6">
        <f t="shared" si="0"/>
        <v>0</v>
      </c>
      <c r="G26" s="2"/>
      <c r="H26" s="7">
        <v>934.30769230769204</v>
      </c>
      <c r="I26" s="2"/>
      <c r="J26" s="6">
        <f t="shared" si="1"/>
        <v>0</v>
      </c>
      <c r="K26" s="2"/>
      <c r="L26" s="7">
        <f t="shared" si="2"/>
        <v>724.67230769230798</v>
      </c>
      <c r="M26" s="2"/>
      <c r="N26" s="6">
        <f t="shared" si="3"/>
        <v>0.77562489708546078</v>
      </c>
      <c r="O26" s="11"/>
      <c r="P26" s="7">
        <v>4976.9399999999996</v>
      </c>
      <c r="Q26" s="2"/>
      <c r="R26" s="6">
        <f t="shared" si="4"/>
        <v>0</v>
      </c>
      <c r="S26" s="2"/>
      <c r="T26" s="7">
        <v>3036.5</v>
      </c>
      <c r="U26" s="2"/>
      <c r="V26" s="6">
        <f t="shared" si="5"/>
        <v>0</v>
      </c>
      <c r="W26" s="2"/>
      <c r="X26" s="7">
        <f t="shared" si="6"/>
        <v>1940.4399999999996</v>
      </c>
      <c r="Y26" s="2"/>
      <c r="Z26" s="6">
        <f t="shared" si="7"/>
        <v>0.63903836654042467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856.8</v>
      </c>
      <c r="E27" s="2"/>
      <c r="F27" s="6">
        <f t="shared" si="0"/>
        <v>0</v>
      </c>
      <c r="G27" s="2"/>
      <c r="H27" s="7">
        <v>560.58461538461597</v>
      </c>
      <c r="I27" s="2"/>
      <c r="J27" s="6">
        <f t="shared" si="1"/>
        <v>0</v>
      </c>
      <c r="K27" s="2"/>
      <c r="L27" s="7">
        <f t="shared" si="2"/>
        <v>296.21538461538398</v>
      </c>
      <c r="M27" s="2"/>
      <c r="N27" s="6">
        <f t="shared" si="3"/>
        <v>0.52840441297546348</v>
      </c>
      <c r="O27" s="11"/>
      <c r="P27" s="7">
        <v>2570.4</v>
      </c>
      <c r="Q27" s="2"/>
      <c r="R27" s="6">
        <f t="shared" si="4"/>
        <v>0</v>
      </c>
      <c r="S27" s="2"/>
      <c r="T27" s="7">
        <v>1821.9</v>
      </c>
      <c r="U27" s="2"/>
      <c r="V27" s="6">
        <f t="shared" si="5"/>
        <v>0</v>
      </c>
      <c r="W27" s="2"/>
      <c r="X27" s="7">
        <f t="shared" si="6"/>
        <v>748.5</v>
      </c>
      <c r="Y27" s="2"/>
      <c r="Z27" s="6">
        <f t="shared" si="7"/>
        <v>0.41083484274658322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139.99</v>
      </c>
      <c r="E28" s="2"/>
      <c r="F28" s="6">
        <f t="shared" si="0"/>
        <v>0</v>
      </c>
      <c r="G28" s="2"/>
      <c r="H28" s="7">
        <v>350</v>
      </c>
      <c r="I28" s="2"/>
      <c r="J28" s="6">
        <f t="shared" si="1"/>
        <v>0</v>
      </c>
      <c r="K28" s="2"/>
      <c r="L28" s="7">
        <f t="shared" si="2"/>
        <v>-210.01</v>
      </c>
      <c r="M28" s="2"/>
      <c r="N28" s="6">
        <f t="shared" si="3"/>
        <v>-0.60002857142857136</v>
      </c>
      <c r="O28" s="11"/>
      <c r="P28" s="7">
        <v>344.14</v>
      </c>
      <c r="Q28" s="2"/>
      <c r="R28" s="6">
        <f t="shared" si="4"/>
        <v>0</v>
      </c>
      <c r="S28" s="2"/>
      <c r="T28" s="7">
        <v>950</v>
      </c>
      <c r="U28" s="2"/>
      <c r="V28" s="6">
        <f t="shared" si="5"/>
        <v>0</v>
      </c>
      <c r="W28" s="2"/>
      <c r="X28" s="7">
        <f t="shared" si="6"/>
        <v>-605.86</v>
      </c>
      <c r="Y28" s="2"/>
      <c r="Z28" s="6">
        <f t="shared" si="7"/>
        <v>-0.63774736842105262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15617.07</v>
      </c>
      <c r="E29" s="1"/>
      <c r="F29" s="5">
        <f t="shared" ref="F29:F39" si="8">IF(D$12=0,0,D29/D$12)</f>
        <v>0</v>
      </c>
      <c r="G29" s="1"/>
      <c r="H29" s="1">
        <f>SUM(OSRRefH22_1x_0)</f>
        <v>17191.261538461491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-1574.1915384614913</v>
      </c>
      <c r="M29" s="1"/>
      <c r="N29" s="5">
        <f t="shared" ref="N29:N39" si="11">IF(H29=0,0,L29/H29)</f>
        <v>-9.1569285647804269E-2</v>
      </c>
      <c r="O29" s="14"/>
      <c r="P29" s="1">
        <f>SUM(OSRRefP22_1x_0)</f>
        <v>50853.969999999994</v>
      </c>
      <c r="Q29" s="1"/>
      <c r="R29" s="5">
        <f t="shared" ref="R29:R39" si="12">IF(P$12=0,0,P29/P$12)</f>
        <v>0</v>
      </c>
      <c r="S29" s="1"/>
      <c r="T29" s="1">
        <f>SUM(OSRRefT22_1x_0)</f>
        <v>55871.599999999897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-5017.6299999999028</v>
      </c>
      <c r="Y29" s="1"/>
      <c r="Z29" s="5">
        <f t="shared" ref="Z29:Z39" si="15">IF(T29=0,0,X29/T29)</f>
        <v>-8.9806449072514699E-2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>
        <v>10720.59</v>
      </c>
      <c r="E30" s="2"/>
      <c r="F30" s="6">
        <f t="shared" si="8"/>
        <v>0</v>
      </c>
      <c r="G30" s="2"/>
      <c r="H30" s="7">
        <v>12526.1538461538</v>
      </c>
      <c r="I30" s="2"/>
      <c r="J30" s="6">
        <f t="shared" si="9"/>
        <v>0</v>
      </c>
      <c r="K30" s="2"/>
      <c r="L30" s="7">
        <f t="shared" si="10"/>
        <v>-1805.5638461538001</v>
      </c>
      <c r="M30" s="2"/>
      <c r="N30" s="6">
        <f t="shared" si="11"/>
        <v>-0.1441435151068502</v>
      </c>
      <c r="O30" s="11"/>
      <c r="P30" s="7">
        <v>37633.589999999997</v>
      </c>
      <c r="Q30" s="2"/>
      <c r="R30" s="6">
        <f t="shared" si="12"/>
        <v>0</v>
      </c>
      <c r="S30" s="2"/>
      <c r="T30" s="7">
        <v>40709.999999999898</v>
      </c>
      <c r="U30" s="2"/>
      <c r="V30" s="6">
        <f t="shared" si="13"/>
        <v>0</v>
      </c>
      <c r="W30" s="2"/>
      <c r="X30" s="7">
        <f t="shared" si="14"/>
        <v>-3076.4099999999016</v>
      </c>
      <c r="Y30" s="2"/>
      <c r="Z30" s="6">
        <f t="shared" si="15"/>
        <v>-7.5568901989680901E-2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7">
        <v>4896.4799999999996</v>
      </c>
      <c r="E31" s="2"/>
      <c r="F31" s="6">
        <f t="shared" si="8"/>
        <v>0</v>
      </c>
      <c r="G31" s="2"/>
      <c r="H31" s="7">
        <v>4665.1076923076898</v>
      </c>
      <c r="I31" s="2"/>
      <c r="J31" s="6">
        <f t="shared" si="9"/>
        <v>0</v>
      </c>
      <c r="K31" s="2"/>
      <c r="L31" s="7">
        <f t="shared" si="10"/>
        <v>231.37230769230973</v>
      </c>
      <c r="M31" s="2"/>
      <c r="N31" s="6">
        <f t="shared" si="11"/>
        <v>4.9596348670325495E-2</v>
      </c>
      <c r="O31" s="11"/>
      <c r="P31" s="7">
        <v>13220.38</v>
      </c>
      <c r="Q31" s="2"/>
      <c r="R31" s="6">
        <f t="shared" si="12"/>
        <v>0</v>
      </c>
      <c r="S31" s="2"/>
      <c r="T31" s="7">
        <v>15161.6</v>
      </c>
      <c r="U31" s="2"/>
      <c r="V31" s="6">
        <f t="shared" si="13"/>
        <v>0</v>
      </c>
      <c r="W31" s="2"/>
      <c r="X31" s="7">
        <f t="shared" si="14"/>
        <v>-1941.2200000000012</v>
      </c>
      <c r="Y31" s="2"/>
      <c r="Z31" s="6">
        <f t="shared" si="15"/>
        <v>-0.12803529970451674</v>
      </c>
    </row>
    <row r="32" spans="1:26" s="24" customFormat="1" hidden="1" outlineLevel="2" x14ac:dyDescent="0.25">
      <c r="A32" s="29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9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9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25">
      <c r="A40" s="27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57.24</v>
      </c>
      <c r="E40" s="1"/>
      <c r="F40" s="5">
        <f t="shared" ref="F40:F54" si="16">IF(D$12=0,0,D40/D$12)</f>
        <v>0</v>
      </c>
      <c r="G40" s="1"/>
      <c r="H40" s="1">
        <f>SUM(OSRRefH22_2x_0)</f>
        <v>250</v>
      </c>
      <c r="I40" s="1"/>
      <c r="J40" s="5">
        <f t="shared" ref="J40:J54" si="17">IF(H$12=0,0,H40/H$12)</f>
        <v>0</v>
      </c>
      <c r="K40" s="1"/>
      <c r="L40" s="1">
        <f t="shared" ref="L40:L54" si="18">+D40-H40</f>
        <v>-192.76</v>
      </c>
      <c r="M40" s="1"/>
      <c r="N40" s="5">
        <f t="shared" ref="N40:N54" si="19">IF(H40=0,0,L40/H40)</f>
        <v>-0.77103999999999995</v>
      </c>
      <c r="O40" s="14"/>
      <c r="P40" s="1">
        <f>SUM(OSRRefP22_2x_0)</f>
        <v>186.42</v>
      </c>
      <c r="Q40" s="1"/>
      <c r="R40" s="5">
        <f t="shared" ref="R40:R54" si="20">IF(P$12=0,0,P40/P$12)</f>
        <v>0</v>
      </c>
      <c r="S40" s="1"/>
      <c r="T40" s="1">
        <f>SUM(OSRRefT22_2x_0)</f>
        <v>350</v>
      </c>
      <c r="U40" s="1"/>
      <c r="V40" s="5">
        <f t="shared" ref="V40:V54" si="21">IF(T$12=0,0,T40/T$12)</f>
        <v>0</v>
      </c>
      <c r="W40" s="1"/>
      <c r="X40" s="1">
        <f t="shared" ref="X40:X54" si="22">+P40-T40</f>
        <v>-163.58000000000001</v>
      </c>
      <c r="Y40" s="1"/>
      <c r="Z40" s="5">
        <f t="shared" ref="Z40:Z54" si="23">IF(T40=0,0,X40/T40)</f>
        <v>-0.4673714285714286</v>
      </c>
    </row>
    <row r="41" spans="1:26" s="24" customFormat="1" hidden="1" outlineLevel="2" x14ac:dyDescent="0.25">
      <c r="A41" s="29"/>
      <c r="B41" s="11" t="str">
        <f>CONCATENATE("          ", "6362", " - ", "ADVERTISING EXPENSE")</f>
        <v xml:space="preserve">          6362 - ADVERTISING EXPENSE</v>
      </c>
      <c r="C41" s="11"/>
      <c r="D41" s="7">
        <v>57.24</v>
      </c>
      <c r="E41" s="2"/>
      <c r="F41" s="6">
        <f t="shared" si="16"/>
        <v>0</v>
      </c>
      <c r="G41" s="2"/>
      <c r="H41" s="7">
        <v>250</v>
      </c>
      <c r="I41" s="2"/>
      <c r="J41" s="6">
        <f t="shared" si="17"/>
        <v>0</v>
      </c>
      <c r="K41" s="2"/>
      <c r="L41" s="7">
        <f t="shared" si="18"/>
        <v>-192.76</v>
      </c>
      <c r="M41" s="2"/>
      <c r="N41" s="6">
        <f t="shared" si="19"/>
        <v>-0.77103999999999995</v>
      </c>
      <c r="O41" s="11"/>
      <c r="P41" s="7">
        <v>186.42</v>
      </c>
      <c r="Q41" s="2"/>
      <c r="R41" s="6">
        <f t="shared" si="20"/>
        <v>0</v>
      </c>
      <c r="S41" s="2"/>
      <c r="T41" s="7">
        <v>350</v>
      </c>
      <c r="U41" s="2"/>
      <c r="V41" s="6">
        <f t="shared" si="21"/>
        <v>0</v>
      </c>
      <c r="W41" s="2"/>
      <c r="X41" s="7">
        <f t="shared" si="22"/>
        <v>-163.58000000000001</v>
      </c>
      <c r="Y41" s="2"/>
      <c r="Z41" s="6">
        <f t="shared" si="23"/>
        <v>-0.4673714285714286</v>
      </c>
    </row>
    <row r="42" spans="1:26" s="28" customFormat="1" outlineLevel="1" collapsed="1" x14ac:dyDescent="0.25">
      <c r="A42" s="27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314.87</v>
      </c>
      <c r="E42" s="1"/>
      <c r="F42" s="5">
        <f t="shared" si="16"/>
        <v>0</v>
      </c>
      <c r="G42" s="1"/>
      <c r="H42" s="1">
        <f>SUM(OSRRefH22_3x_0)</f>
        <v>315</v>
      </c>
      <c r="I42" s="1"/>
      <c r="J42" s="5">
        <f t="shared" si="17"/>
        <v>0</v>
      </c>
      <c r="K42" s="1"/>
      <c r="L42" s="1">
        <f t="shared" si="18"/>
        <v>-0.12999999999999545</v>
      </c>
      <c r="M42" s="1"/>
      <c r="N42" s="5">
        <f t="shared" si="19"/>
        <v>-4.1269841269839827E-4</v>
      </c>
      <c r="O42" s="14"/>
      <c r="P42" s="1">
        <f>SUM(OSRRefP22_3x_0)</f>
        <v>944.61</v>
      </c>
      <c r="Q42" s="1"/>
      <c r="R42" s="5">
        <f t="shared" si="20"/>
        <v>0</v>
      </c>
      <c r="S42" s="1"/>
      <c r="T42" s="1">
        <f>SUM(OSRRefT22_3x_0)</f>
        <v>945</v>
      </c>
      <c r="U42" s="1"/>
      <c r="V42" s="5">
        <f t="shared" si="21"/>
        <v>0</v>
      </c>
      <c r="W42" s="1"/>
      <c r="X42" s="1">
        <f t="shared" si="22"/>
        <v>-0.38999999999998636</v>
      </c>
      <c r="Y42" s="1"/>
      <c r="Z42" s="5">
        <f t="shared" si="23"/>
        <v>-4.1269841269839827E-4</v>
      </c>
    </row>
    <row r="43" spans="1:26" s="24" customFormat="1" hidden="1" outlineLevel="2" x14ac:dyDescent="0.25">
      <c r="A43" s="29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314.87</v>
      </c>
      <c r="E43" s="2"/>
      <c r="F43" s="6">
        <f t="shared" si="16"/>
        <v>0</v>
      </c>
      <c r="G43" s="2"/>
      <c r="H43" s="7">
        <v>315</v>
      </c>
      <c r="I43" s="2"/>
      <c r="J43" s="6">
        <f t="shared" si="17"/>
        <v>0</v>
      </c>
      <c r="K43" s="2"/>
      <c r="L43" s="7">
        <f t="shared" si="18"/>
        <v>-0.12999999999999545</v>
      </c>
      <c r="M43" s="2"/>
      <c r="N43" s="6">
        <f t="shared" si="19"/>
        <v>-4.1269841269839827E-4</v>
      </c>
      <c r="O43" s="11"/>
      <c r="P43" s="7">
        <v>944.61</v>
      </c>
      <c r="Q43" s="2"/>
      <c r="R43" s="6">
        <f t="shared" si="20"/>
        <v>0</v>
      </c>
      <c r="S43" s="2"/>
      <c r="T43" s="7">
        <v>945</v>
      </c>
      <c r="U43" s="2"/>
      <c r="V43" s="6">
        <f t="shared" si="21"/>
        <v>0</v>
      </c>
      <c r="W43" s="2"/>
      <c r="X43" s="7">
        <f t="shared" si="22"/>
        <v>-0.38999999999998636</v>
      </c>
      <c r="Y43" s="2"/>
      <c r="Z43" s="6">
        <f t="shared" si="23"/>
        <v>-4.1269841269839827E-4</v>
      </c>
    </row>
    <row r="44" spans="1:26" s="28" customFormat="1" outlineLevel="1" collapsed="1" x14ac:dyDescent="0.25">
      <c r="A44" s="27"/>
      <c r="B44" s="14" t="str">
        <f>CONCATENATE("     ","Donations                                         ")</f>
        <v xml:space="preserve">     Donations                                         </v>
      </c>
      <c r="C44" s="14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10000</v>
      </c>
      <c r="I44" s="1"/>
      <c r="J44" s="5">
        <f t="shared" si="17"/>
        <v>0</v>
      </c>
      <c r="K44" s="1"/>
      <c r="L44" s="1">
        <f t="shared" si="18"/>
        <v>-10000</v>
      </c>
      <c r="M44" s="1"/>
      <c r="N44" s="5">
        <f t="shared" si="19"/>
        <v>-1</v>
      </c>
      <c r="O44" s="14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37700</v>
      </c>
      <c r="U44" s="1"/>
      <c r="V44" s="5">
        <f t="shared" si="21"/>
        <v>0</v>
      </c>
      <c r="W44" s="1"/>
      <c r="X44" s="1">
        <f t="shared" si="22"/>
        <v>-37700</v>
      </c>
      <c r="Y44" s="1"/>
      <c r="Z44" s="5">
        <f t="shared" si="23"/>
        <v>-1</v>
      </c>
    </row>
    <row r="45" spans="1:26" s="24" customFormat="1" hidden="1" outlineLevel="2" x14ac:dyDescent="0.25">
      <c r="A45" s="29"/>
      <c r="B45" s="11" t="str">
        <f>CONCATENATE("          ", "6399", " - ", "DONATION-ON CAMPUS")</f>
        <v xml:space="preserve">          6399 - DONATION-ON CAMPUS</v>
      </c>
      <c r="C45" s="11"/>
      <c r="D45" s="7"/>
      <c r="E45" s="2"/>
      <c r="F45" s="6">
        <f t="shared" si="16"/>
        <v>0</v>
      </c>
      <c r="G45" s="2"/>
      <c r="H45" s="7">
        <v>10000</v>
      </c>
      <c r="I45" s="2"/>
      <c r="J45" s="6">
        <f t="shared" si="17"/>
        <v>0</v>
      </c>
      <c r="K45" s="2"/>
      <c r="L45" s="7">
        <f t="shared" si="18"/>
        <v>-10000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37700</v>
      </c>
      <c r="U45" s="2"/>
      <c r="V45" s="6">
        <f t="shared" si="21"/>
        <v>0</v>
      </c>
      <c r="W45" s="2"/>
      <c r="X45" s="7">
        <f t="shared" si="22"/>
        <v>-37700</v>
      </c>
      <c r="Y45" s="2"/>
      <c r="Z45" s="6">
        <f t="shared" si="23"/>
        <v>-1</v>
      </c>
    </row>
    <row r="46" spans="1:26" s="28" customFormat="1" outlineLevel="1" collapsed="1" x14ac:dyDescent="0.25">
      <c r="A46" s="27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SUM(OSRRefD22_5x_0)</f>
        <v>117.71</v>
      </c>
      <c r="E46" s="1"/>
      <c r="F46" s="5">
        <f t="shared" si="16"/>
        <v>0</v>
      </c>
      <c r="G46" s="1"/>
      <c r="H46" s="1">
        <f>SUM(OSRRefH22_5x_0)</f>
        <v>118</v>
      </c>
      <c r="I46" s="1"/>
      <c r="J46" s="5">
        <f t="shared" si="17"/>
        <v>0</v>
      </c>
      <c r="K46" s="1"/>
      <c r="L46" s="1">
        <f t="shared" si="18"/>
        <v>-0.29000000000000625</v>
      </c>
      <c r="M46" s="1"/>
      <c r="N46" s="5">
        <f t="shared" si="19"/>
        <v>-2.457627118644121E-3</v>
      </c>
      <c r="O46" s="14"/>
      <c r="P46" s="1">
        <f>SUM(OSRRefP22_5x_0)</f>
        <v>353.13</v>
      </c>
      <c r="Q46" s="1"/>
      <c r="R46" s="5">
        <f t="shared" si="20"/>
        <v>0</v>
      </c>
      <c r="S46" s="1"/>
      <c r="T46" s="1">
        <f>SUM(OSRRefT22_5x_0)</f>
        <v>354</v>
      </c>
      <c r="U46" s="1"/>
      <c r="V46" s="5">
        <f t="shared" si="21"/>
        <v>0</v>
      </c>
      <c r="W46" s="1"/>
      <c r="X46" s="1">
        <f t="shared" si="22"/>
        <v>-0.87000000000000455</v>
      </c>
      <c r="Y46" s="1"/>
      <c r="Z46" s="5">
        <f t="shared" si="23"/>
        <v>-2.4576271186440807E-3</v>
      </c>
    </row>
    <row r="47" spans="1:26" s="24" customFormat="1" hidden="1" outlineLevel="2" x14ac:dyDescent="0.25">
      <c r="A47" s="29"/>
      <c r="B47" s="11" t="str">
        <f>CONCATENATE("          ", "6351", " - ", "EQUIPMENT RENTAL")</f>
        <v xml:space="preserve">          6351 - EQUIPMENT RENTAL</v>
      </c>
      <c r="C47" s="11"/>
      <c r="D47" s="7">
        <v>117.71</v>
      </c>
      <c r="E47" s="2"/>
      <c r="F47" s="6">
        <f t="shared" si="16"/>
        <v>0</v>
      </c>
      <c r="G47" s="2"/>
      <c r="H47" s="7">
        <v>118</v>
      </c>
      <c r="I47" s="2"/>
      <c r="J47" s="6">
        <f t="shared" si="17"/>
        <v>0</v>
      </c>
      <c r="K47" s="2"/>
      <c r="L47" s="7">
        <f t="shared" si="18"/>
        <v>-0.29000000000000625</v>
      </c>
      <c r="M47" s="2"/>
      <c r="N47" s="6">
        <f t="shared" si="19"/>
        <v>-2.457627118644121E-3</v>
      </c>
      <c r="O47" s="11"/>
      <c r="P47" s="7">
        <v>353.13</v>
      </c>
      <c r="Q47" s="2"/>
      <c r="R47" s="6">
        <f t="shared" si="20"/>
        <v>0</v>
      </c>
      <c r="S47" s="2"/>
      <c r="T47" s="7">
        <v>354</v>
      </c>
      <c r="U47" s="2"/>
      <c r="V47" s="6">
        <f t="shared" si="21"/>
        <v>0</v>
      </c>
      <c r="W47" s="2"/>
      <c r="X47" s="7">
        <f t="shared" si="22"/>
        <v>-0.87000000000000455</v>
      </c>
      <c r="Y47" s="2"/>
      <c r="Z47" s="6">
        <f t="shared" si="23"/>
        <v>-2.4576271186440807E-3</v>
      </c>
    </row>
    <row r="48" spans="1:26" s="28" customFormat="1" outlineLevel="1" collapsed="1" x14ac:dyDescent="0.25">
      <c r="A48" s="27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SUM(OSRRefD22_6x_0)</f>
        <v>6.97</v>
      </c>
      <c r="E48" s="1"/>
      <c r="F48" s="5">
        <f t="shared" si="16"/>
        <v>0</v>
      </c>
      <c r="G48" s="1"/>
      <c r="H48" s="1">
        <f>SUM(OSRRefH22_6x_0)</f>
        <v>100</v>
      </c>
      <c r="I48" s="1"/>
      <c r="J48" s="5">
        <f t="shared" si="17"/>
        <v>0</v>
      </c>
      <c r="K48" s="1"/>
      <c r="L48" s="1">
        <f t="shared" si="18"/>
        <v>-93.03</v>
      </c>
      <c r="M48" s="1"/>
      <c r="N48" s="5">
        <f t="shared" si="19"/>
        <v>-0.93030000000000002</v>
      </c>
      <c r="O48" s="14"/>
      <c r="P48" s="1">
        <f>SUM(OSRRefP22_6x_0)</f>
        <v>19.850000000000001</v>
      </c>
      <c r="Q48" s="1"/>
      <c r="R48" s="5">
        <f t="shared" si="20"/>
        <v>0</v>
      </c>
      <c r="S48" s="1"/>
      <c r="T48" s="1">
        <f>SUM(OSRRefT22_6x_0)</f>
        <v>150</v>
      </c>
      <c r="U48" s="1"/>
      <c r="V48" s="5">
        <f t="shared" si="21"/>
        <v>0</v>
      </c>
      <c r="W48" s="1"/>
      <c r="X48" s="1">
        <f t="shared" si="22"/>
        <v>-130.15</v>
      </c>
      <c r="Y48" s="1"/>
      <c r="Z48" s="5">
        <f t="shared" si="23"/>
        <v>-0.8676666666666667</v>
      </c>
    </row>
    <row r="49" spans="1:26" s="24" customFormat="1" hidden="1" outlineLevel="2" x14ac:dyDescent="0.25">
      <c r="A49" s="29"/>
      <c r="B49" s="11" t="str">
        <f>CONCATENATE("          ", "6307", " - ", "POSTAGE")</f>
        <v xml:space="preserve">          6307 - POSTAGE</v>
      </c>
      <c r="C49" s="11"/>
      <c r="D49" s="7">
        <v>6.97</v>
      </c>
      <c r="E49" s="2"/>
      <c r="F49" s="6">
        <f t="shared" si="16"/>
        <v>0</v>
      </c>
      <c r="G49" s="2"/>
      <c r="H49" s="7">
        <v>100</v>
      </c>
      <c r="I49" s="2"/>
      <c r="J49" s="6">
        <f t="shared" si="17"/>
        <v>0</v>
      </c>
      <c r="K49" s="2"/>
      <c r="L49" s="7">
        <f t="shared" si="18"/>
        <v>-93.03</v>
      </c>
      <c r="M49" s="2"/>
      <c r="N49" s="6">
        <f t="shared" si="19"/>
        <v>-0.93030000000000002</v>
      </c>
      <c r="O49" s="11"/>
      <c r="P49" s="7">
        <v>19.850000000000001</v>
      </c>
      <c r="Q49" s="2"/>
      <c r="R49" s="6">
        <f t="shared" si="20"/>
        <v>0</v>
      </c>
      <c r="S49" s="2"/>
      <c r="T49" s="7">
        <v>150</v>
      </c>
      <c r="U49" s="2"/>
      <c r="V49" s="6">
        <f t="shared" si="21"/>
        <v>0</v>
      </c>
      <c r="W49" s="2"/>
      <c r="X49" s="7">
        <f t="shared" si="22"/>
        <v>-130.15</v>
      </c>
      <c r="Y49" s="2"/>
      <c r="Z49" s="6">
        <f t="shared" si="23"/>
        <v>-0.8676666666666667</v>
      </c>
    </row>
    <row r="50" spans="1:26" s="28" customFormat="1" outlineLevel="1" collapsed="1" x14ac:dyDescent="0.25">
      <c r="A50" s="27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SUM(OSRRefD22_7x_0)</f>
        <v>156.47999999999999</v>
      </c>
      <c r="E50" s="1"/>
      <c r="F50" s="5">
        <f t="shared" si="16"/>
        <v>0</v>
      </c>
      <c r="G50" s="1"/>
      <c r="H50" s="1">
        <f>SUM(OSRRefH22_7x_0)</f>
        <v>150</v>
      </c>
      <c r="I50" s="1"/>
      <c r="J50" s="5">
        <f t="shared" si="17"/>
        <v>0</v>
      </c>
      <c r="K50" s="1"/>
      <c r="L50" s="1">
        <f t="shared" si="18"/>
        <v>6.4799999999999898</v>
      </c>
      <c r="M50" s="1"/>
      <c r="N50" s="5">
        <f t="shared" si="19"/>
        <v>4.3199999999999933E-2</v>
      </c>
      <c r="O50" s="14"/>
      <c r="P50" s="1">
        <f>SUM(OSRRefP22_7x_0)</f>
        <v>469.44</v>
      </c>
      <c r="Q50" s="1"/>
      <c r="R50" s="5">
        <f t="shared" si="20"/>
        <v>0</v>
      </c>
      <c r="S50" s="1"/>
      <c r="T50" s="1">
        <f>SUM(OSRRefT22_7x_0)</f>
        <v>450</v>
      </c>
      <c r="U50" s="1"/>
      <c r="V50" s="5">
        <f t="shared" si="21"/>
        <v>0</v>
      </c>
      <c r="W50" s="1"/>
      <c r="X50" s="1">
        <f t="shared" si="22"/>
        <v>19.439999999999998</v>
      </c>
      <c r="Y50" s="1"/>
      <c r="Z50" s="5">
        <f t="shared" si="23"/>
        <v>4.3199999999999995E-2</v>
      </c>
    </row>
    <row r="51" spans="1:26" s="24" customFormat="1" hidden="1" outlineLevel="2" x14ac:dyDescent="0.25">
      <c r="A51" s="29"/>
      <c r="B51" s="11" t="str">
        <f>CONCATENATE("          ", "6314", " - ", "LIABILITY INSURANCE")</f>
        <v xml:space="preserve">          6314 - LIABILITY INSURANCE</v>
      </c>
      <c r="C51" s="11"/>
      <c r="D51" s="7">
        <v>156.47999999999999</v>
      </c>
      <c r="E51" s="2"/>
      <c r="F51" s="6">
        <f t="shared" si="16"/>
        <v>0</v>
      </c>
      <c r="G51" s="2"/>
      <c r="H51" s="7">
        <v>150</v>
      </c>
      <c r="I51" s="2"/>
      <c r="J51" s="6">
        <f t="shared" si="17"/>
        <v>0</v>
      </c>
      <c r="K51" s="2"/>
      <c r="L51" s="7">
        <f t="shared" si="18"/>
        <v>6.4799999999999898</v>
      </c>
      <c r="M51" s="2"/>
      <c r="N51" s="6">
        <f t="shared" si="19"/>
        <v>4.3199999999999933E-2</v>
      </c>
      <c r="O51" s="11"/>
      <c r="P51" s="7">
        <v>469.44</v>
      </c>
      <c r="Q51" s="2"/>
      <c r="R51" s="6">
        <f t="shared" si="20"/>
        <v>0</v>
      </c>
      <c r="S51" s="2"/>
      <c r="T51" s="7">
        <v>450</v>
      </c>
      <c r="U51" s="2"/>
      <c r="V51" s="6">
        <f t="shared" si="21"/>
        <v>0</v>
      </c>
      <c r="W51" s="2"/>
      <c r="X51" s="7">
        <f t="shared" si="22"/>
        <v>19.439999999999998</v>
      </c>
      <c r="Y51" s="2"/>
      <c r="Z51" s="6">
        <f t="shared" si="23"/>
        <v>4.3199999999999995E-2</v>
      </c>
    </row>
    <row r="52" spans="1:26" s="28" customFormat="1" outlineLevel="1" collapsed="1" x14ac:dyDescent="0.25">
      <c r="A52" s="27"/>
      <c r="B52" s="14" t="str">
        <f>CONCATENATE("     ","Professional Services                             ")</f>
        <v xml:space="preserve">     Professional Services                             </v>
      </c>
      <c r="C52" s="14"/>
      <c r="D52" s="1">
        <f>SUM(OSRRefD22_8x_0)</f>
        <v>16500</v>
      </c>
      <c r="E52" s="1"/>
      <c r="F52" s="5">
        <f t="shared" si="16"/>
        <v>0</v>
      </c>
      <c r="G52" s="1"/>
      <c r="H52" s="1">
        <f>SUM(OSRRefH22_8x_0)</f>
        <v>13000</v>
      </c>
      <c r="I52" s="1"/>
      <c r="J52" s="5">
        <f t="shared" si="17"/>
        <v>0</v>
      </c>
      <c r="K52" s="1"/>
      <c r="L52" s="1">
        <f t="shared" si="18"/>
        <v>3500</v>
      </c>
      <c r="M52" s="1"/>
      <c r="N52" s="5">
        <f t="shared" si="19"/>
        <v>0.26923076923076922</v>
      </c>
      <c r="O52" s="14"/>
      <c r="P52" s="1">
        <f>SUM(OSRRefP22_8x_0)</f>
        <v>16500</v>
      </c>
      <c r="Q52" s="1"/>
      <c r="R52" s="5">
        <f t="shared" si="20"/>
        <v>0</v>
      </c>
      <c r="S52" s="1"/>
      <c r="T52" s="1">
        <f>SUM(OSRRefT22_8x_0)</f>
        <v>13000</v>
      </c>
      <c r="U52" s="1"/>
      <c r="V52" s="5">
        <f t="shared" si="21"/>
        <v>0</v>
      </c>
      <c r="W52" s="1"/>
      <c r="X52" s="1">
        <f t="shared" si="22"/>
        <v>3500</v>
      </c>
      <c r="Y52" s="1"/>
      <c r="Z52" s="5">
        <f t="shared" si="23"/>
        <v>0.26923076923076922</v>
      </c>
    </row>
    <row r="53" spans="1:26" s="24" customFormat="1" hidden="1" outlineLevel="2" x14ac:dyDescent="0.25">
      <c r="A53" s="29"/>
      <c r="B53" s="11" t="str">
        <f>CONCATENATE("          ", "6331", " - ", "INDIRECT COSTS-AUXILIARY ORGAN")</f>
        <v xml:space="preserve">          6331 - INDIRECT COSTS-AUXILIARY ORGAN</v>
      </c>
      <c r="C53" s="11"/>
      <c r="D53" s="7">
        <v>16500</v>
      </c>
      <c r="E53" s="2"/>
      <c r="F53" s="6">
        <f t="shared" si="16"/>
        <v>0</v>
      </c>
      <c r="G53" s="2"/>
      <c r="H53" s="7">
        <v>12000</v>
      </c>
      <c r="I53" s="2"/>
      <c r="J53" s="6">
        <f t="shared" si="17"/>
        <v>0</v>
      </c>
      <c r="K53" s="2"/>
      <c r="L53" s="7">
        <f t="shared" si="18"/>
        <v>4500</v>
      </c>
      <c r="M53" s="2"/>
      <c r="N53" s="6">
        <f t="shared" si="19"/>
        <v>0.375</v>
      </c>
      <c r="O53" s="11"/>
      <c r="P53" s="7">
        <v>16500</v>
      </c>
      <c r="Q53" s="2"/>
      <c r="R53" s="6">
        <f t="shared" si="20"/>
        <v>0</v>
      </c>
      <c r="S53" s="2"/>
      <c r="T53" s="7">
        <v>12000</v>
      </c>
      <c r="U53" s="2"/>
      <c r="V53" s="6">
        <f t="shared" si="21"/>
        <v>0</v>
      </c>
      <c r="W53" s="2"/>
      <c r="X53" s="7">
        <f t="shared" si="22"/>
        <v>4500</v>
      </c>
      <c r="Y53" s="2"/>
      <c r="Z53" s="6">
        <f t="shared" si="23"/>
        <v>0.375</v>
      </c>
    </row>
    <row r="54" spans="1:26" s="24" customFormat="1" hidden="1" outlineLevel="2" x14ac:dyDescent="0.25">
      <c r="A54" s="29"/>
      <c r="B54" s="11" t="str">
        <f>CONCATENATE("          ", "6334", " - ", "LEGAL COUNCIL EXPENSE")</f>
        <v xml:space="preserve">          6334 - LEGAL COUNCIL EXPENSE</v>
      </c>
      <c r="C54" s="11"/>
      <c r="D54" s="7"/>
      <c r="E54" s="2"/>
      <c r="F54" s="6">
        <f t="shared" si="16"/>
        <v>0</v>
      </c>
      <c r="G54" s="2"/>
      <c r="H54" s="7">
        <v>1000</v>
      </c>
      <c r="I54" s="2"/>
      <c r="J54" s="6">
        <f t="shared" si="17"/>
        <v>0</v>
      </c>
      <c r="K54" s="2"/>
      <c r="L54" s="7">
        <f t="shared" si="18"/>
        <v>-1000</v>
      </c>
      <c r="M54" s="2"/>
      <c r="N54" s="6">
        <f t="shared" si="19"/>
        <v>-1</v>
      </c>
      <c r="O54" s="11"/>
      <c r="P54" s="7"/>
      <c r="Q54" s="2"/>
      <c r="R54" s="6">
        <f t="shared" si="20"/>
        <v>0</v>
      </c>
      <c r="S54" s="2"/>
      <c r="T54" s="7">
        <v>1000</v>
      </c>
      <c r="U54" s="2"/>
      <c r="V54" s="6">
        <f t="shared" si="21"/>
        <v>0</v>
      </c>
      <c r="W54" s="2"/>
      <c r="X54" s="7">
        <f t="shared" si="22"/>
        <v>-1000</v>
      </c>
      <c r="Y54" s="2"/>
      <c r="Z54" s="6">
        <f t="shared" si="23"/>
        <v>-1</v>
      </c>
    </row>
    <row r="55" spans="1:26" s="28" customFormat="1" outlineLevel="1" collapsed="1" x14ac:dyDescent="0.25">
      <c r="A55" s="27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SUM(OSRRefD22_9x_0)</f>
        <v>50</v>
      </c>
      <c r="E55" s="1"/>
      <c r="F55" s="5">
        <f t="shared" ref="F55:F57" si="24">IF(D$12=0,0,D55/D$12)</f>
        <v>0</v>
      </c>
      <c r="G55" s="1"/>
      <c r="H55" s="1">
        <f>SUM(OSRRefH22_9x_0)</f>
        <v>1530</v>
      </c>
      <c r="I55" s="1"/>
      <c r="J55" s="5">
        <f t="shared" ref="J55:J57" si="25">IF(H$12=0,0,H55/H$12)</f>
        <v>0</v>
      </c>
      <c r="K55" s="1"/>
      <c r="L55" s="1">
        <f t="shared" ref="L55:L57" si="26">+D55-H55</f>
        <v>-1480</v>
      </c>
      <c r="M55" s="1"/>
      <c r="N55" s="5">
        <f t="shared" ref="N55:N57" si="27">IF(H55=0,0,L55/H55)</f>
        <v>-0.9673202614379085</v>
      </c>
      <c r="O55" s="14"/>
      <c r="P55" s="1">
        <f>SUM(OSRRefP22_9x_0)</f>
        <v>5305.17</v>
      </c>
      <c r="Q55" s="1"/>
      <c r="R55" s="5">
        <f t="shared" ref="R55:R57" si="28">IF(P$12=0,0,P55/P$12)</f>
        <v>0</v>
      </c>
      <c r="S55" s="1"/>
      <c r="T55" s="1">
        <f>SUM(OSRRefT22_9x_0)</f>
        <v>4590</v>
      </c>
      <c r="U55" s="1"/>
      <c r="V55" s="5">
        <f t="shared" ref="V55:V57" si="29">IF(T$12=0,0,T55/T$12)</f>
        <v>0</v>
      </c>
      <c r="W55" s="1"/>
      <c r="X55" s="1">
        <f t="shared" ref="X55:X57" si="30">+P55-T55</f>
        <v>715.17000000000007</v>
      </c>
      <c r="Y55" s="1"/>
      <c r="Z55" s="5">
        <f t="shared" ref="Z55:Z57" si="31">IF(T55=0,0,X55/T55)</f>
        <v>0.15581045751633987</v>
      </c>
    </row>
    <row r="56" spans="1:26" s="24" customFormat="1" hidden="1" outlineLevel="2" x14ac:dyDescent="0.25">
      <c r="A56" s="29"/>
      <c r="B56" s="11" t="str">
        <f>CONCATENATE("          ", "6373", " - ", "MAINTENANCE CONTRACTS")</f>
        <v xml:space="preserve">          6373 - MAINTENANCE CONTRACTS</v>
      </c>
      <c r="C56" s="11"/>
      <c r="D56" s="7">
        <v>50</v>
      </c>
      <c r="E56" s="2"/>
      <c r="F56" s="6">
        <f t="shared" si="24"/>
        <v>0</v>
      </c>
      <c r="G56" s="2"/>
      <c r="H56" s="7">
        <v>1530</v>
      </c>
      <c r="I56" s="2"/>
      <c r="J56" s="6">
        <f t="shared" si="25"/>
        <v>0</v>
      </c>
      <c r="K56" s="2"/>
      <c r="L56" s="7">
        <f t="shared" si="26"/>
        <v>-1480</v>
      </c>
      <c r="M56" s="2"/>
      <c r="N56" s="6">
        <f t="shared" si="27"/>
        <v>-0.9673202614379085</v>
      </c>
      <c r="O56" s="11"/>
      <c r="P56" s="7">
        <v>5207.18</v>
      </c>
      <c r="Q56" s="2"/>
      <c r="R56" s="6">
        <f t="shared" si="28"/>
        <v>0</v>
      </c>
      <c r="S56" s="2"/>
      <c r="T56" s="7">
        <v>4590</v>
      </c>
      <c r="U56" s="2"/>
      <c r="V56" s="6">
        <f t="shared" si="29"/>
        <v>0</v>
      </c>
      <c r="W56" s="2"/>
      <c r="X56" s="7">
        <f t="shared" si="30"/>
        <v>617.18000000000029</v>
      </c>
      <c r="Y56" s="2"/>
      <c r="Z56" s="6">
        <f t="shared" si="31"/>
        <v>0.1344618736383443</v>
      </c>
    </row>
    <row r="57" spans="1:26" s="24" customFormat="1" hidden="1" outlineLevel="2" x14ac:dyDescent="0.25">
      <c r="A57" s="29"/>
      <c r="B57" s="11" t="str">
        <f>CONCATENATE("          ", "6375", " - ", "OUTSIDE REPAIRS &amp; MAINTENANCE")</f>
        <v xml:space="preserve">          6375 - OUTSIDE REPAIRS &amp; MAINTENANCE</v>
      </c>
      <c r="C57" s="11"/>
      <c r="D57" s="7"/>
      <c r="E57" s="2"/>
      <c r="F57" s="6">
        <f t="shared" si="24"/>
        <v>0</v>
      </c>
      <c r="G57" s="2"/>
      <c r="H57" s="7"/>
      <c r="I57" s="2"/>
      <c r="J57" s="6">
        <f t="shared" si="25"/>
        <v>0</v>
      </c>
      <c r="K57" s="2"/>
      <c r="L57" s="7">
        <f t="shared" si="26"/>
        <v>0</v>
      </c>
      <c r="M57" s="2"/>
      <c r="N57" s="6">
        <f t="shared" si="27"/>
        <v>0</v>
      </c>
      <c r="O57" s="11"/>
      <c r="P57" s="7">
        <v>97.99</v>
      </c>
      <c r="Q57" s="2"/>
      <c r="R57" s="6">
        <f t="shared" si="28"/>
        <v>0</v>
      </c>
      <c r="S57" s="2"/>
      <c r="T57" s="7"/>
      <c r="U57" s="2"/>
      <c r="V57" s="6">
        <f t="shared" si="29"/>
        <v>0</v>
      </c>
      <c r="W57" s="2"/>
      <c r="X57" s="7">
        <f t="shared" si="30"/>
        <v>97.99</v>
      </c>
      <c r="Y57" s="2"/>
      <c r="Z57" s="6">
        <f t="shared" si="31"/>
        <v>0</v>
      </c>
    </row>
    <row r="58" spans="1:26" s="28" customFormat="1" outlineLevel="1" collapsed="1" x14ac:dyDescent="0.25">
      <c r="A58" s="27"/>
      <c r="B58" s="14" t="str">
        <f>CONCATENATE("     ","Subscriptions &amp; Dues                              ")</f>
        <v xml:space="preserve">     Subscriptions &amp; Dues                              </v>
      </c>
      <c r="C58" s="14"/>
      <c r="D58" s="1">
        <f>SUM(OSRRefD22_10x_0)</f>
        <v>0</v>
      </c>
      <c r="E58" s="1"/>
      <c r="F58" s="5">
        <f t="shared" ref="F58:F62" si="32">IF(D$12=0,0,D58/D$12)</f>
        <v>0</v>
      </c>
      <c r="G58" s="1"/>
      <c r="H58" s="1">
        <f>SUM(OSRRefH22_10x_0)</f>
        <v>1000</v>
      </c>
      <c r="I58" s="1"/>
      <c r="J58" s="5">
        <f t="shared" ref="J58:J62" si="33">IF(H$12=0,0,H58/H$12)</f>
        <v>0</v>
      </c>
      <c r="K58" s="1"/>
      <c r="L58" s="1">
        <f t="shared" ref="L58:L62" si="34">+D58-H58</f>
        <v>-1000</v>
      </c>
      <c r="M58" s="1"/>
      <c r="N58" s="5">
        <f t="shared" ref="N58:N62" si="35">IF(H58=0,0,L58/H58)</f>
        <v>-1</v>
      </c>
      <c r="O58" s="14"/>
      <c r="P58" s="1">
        <f>SUM(OSRRefP22_10x_0)</f>
        <v>1000</v>
      </c>
      <c r="Q58" s="1"/>
      <c r="R58" s="5">
        <f t="shared" ref="R58:R62" si="36">IF(P$12=0,0,P58/P$12)</f>
        <v>0</v>
      </c>
      <c r="S58" s="1"/>
      <c r="T58" s="1">
        <f>SUM(OSRRefT22_10x_0)</f>
        <v>1975</v>
      </c>
      <c r="U58" s="1"/>
      <c r="V58" s="5">
        <f t="shared" ref="V58:V62" si="37">IF(T$12=0,0,T58/T$12)</f>
        <v>0</v>
      </c>
      <c r="W58" s="1"/>
      <c r="X58" s="1">
        <f t="shared" ref="X58:X62" si="38">+P58-T58</f>
        <v>-975</v>
      </c>
      <c r="Y58" s="1"/>
      <c r="Z58" s="5">
        <f t="shared" ref="Z58:Z62" si="39">IF(T58=0,0,X58/T58)</f>
        <v>-0.49367088607594939</v>
      </c>
    </row>
    <row r="59" spans="1:26" s="24" customFormat="1" hidden="1" outlineLevel="2" x14ac:dyDescent="0.25">
      <c r="A59" s="29"/>
      <c r="B59" s="11" t="str">
        <f>CONCATENATE("          ", "6258", " - ", "MEMBERSHIP DUES")</f>
        <v xml:space="preserve">          6258 - MEMBERSHIP DUES</v>
      </c>
      <c r="C59" s="11"/>
      <c r="D59" s="7"/>
      <c r="E59" s="2"/>
      <c r="F59" s="6">
        <f t="shared" si="32"/>
        <v>0</v>
      </c>
      <c r="G59" s="2"/>
      <c r="H59" s="7">
        <v>1000</v>
      </c>
      <c r="I59" s="2"/>
      <c r="J59" s="6">
        <f t="shared" si="33"/>
        <v>0</v>
      </c>
      <c r="K59" s="2"/>
      <c r="L59" s="7">
        <f t="shared" si="34"/>
        <v>-1000</v>
      </c>
      <c r="M59" s="2"/>
      <c r="N59" s="6">
        <f t="shared" si="35"/>
        <v>-1</v>
      </c>
      <c r="O59" s="11"/>
      <c r="P59" s="7">
        <v>1000</v>
      </c>
      <c r="Q59" s="2"/>
      <c r="R59" s="6">
        <f t="shared" si="36"/>
        <v>0</v>
      </c>
      <c r="S59" s="2"/>
      <c r="T59" s="7">
        <v>1975</v>
      </c>
      <c r="U59" s="2"/>
      <c r="V59" s="6">
        <f t="shared" si="37"/>
        <v>0</v>
      </c>
      <c r="W59" s="2"/>
      <c r="X59" s="7">
        <f t="shared" si="38"/>
        <v>-975</v>
      </c>
      <c r="Y59" s="2"/>
      <c r="Z59" s="6">
        <f t="shared" si="39"/>
        <v>-0.49367088607594939</v>
      </c>
    </row>
    <row r="60" spans="1:26" s="28" customFormat="1" outlineLevel="1" collapsed="1" x14ac:dyDescent="0.25">
      <c r="A60" s="27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SUM(OSRRefD22_11x_0)</f>
        <v>0</v>
      </c>
      <c r="E60" s="1"/>
      <c r="F60" s="5">
        <f t="shared" si="32"/>
        <v>0</v>
      </c>
      <c r="G60" s="1"/>
      <c r="H60" s="1">
        <f>SUM(OSRRefH22_11x_0)</f>
        <v>125</v>
      </c>
      <c r="I60" s="1"/>
      <c r="J60" s="5">
        <f t="shared" si="33"/>
        <v>0</v>
      </c>
      <c r="K60" s="1"/>
      <c r="L60" s="1">
        <f t="shared" si="34"/>
        <v>-125</v>
      </c>
      <c r="M60" s="1"/>
      <c r="N60" s="5">
        <f t="shared" si="35"/>
        <v>-1</v>
      </c>
      <c r="O60" s="14"/>
      <c r="P60" s="1">
        <f>SUM(OSRRefP22_11x_0)</f>
        <v>25.89</v>
      </c>
      <c r="Q60" s="1"/>
      <c r="R60" s="5">
        <f t="shared" si="36"/>
        <v>0</v>
      </c>
      <c r="S60" s="1"/>
      <c r="T60" s="1">
        <f>SUM(OSRRefT22_11x_0)</f>
        <v>375</v>
      </c>
      <c r="U60" s="1"/>
      <c r="V60" s="5">
        <f t="shared" si="37"/>
        <v>0</v>
      </c>
      <c r="W60" s="1"/>
      <c r="X60" s="1">
        <f t="shared" si="38"/>
        <v>-349.11</v>
      </c>
      <c r="Y60" s="1"/>
      <c r="Z60" s="5">
        <f t="shared" si="39"/>
        <v>-0.93096000000000001</v>
      </c>
    </row>
    <row r="61" spans="1:26" s="24" customFormat="1" hidden="1" outlineLevel="2" x14ac:dyDescent="0.25">
      <c r="A61" s="29"/>
      <c r="B61" s="11" t="str">
        <f>CONCATENATE("          ", "6234", " - ", "EXPENDABLE SUPPLIES &amp; EQUIPMEN")</f>
        <v xml:space="preserve">          6234 - EXPENDABLE SUPPLIES &amp; EQUIPMEN</v>
      </c>
      <c r="C61" s="11"/>
      <c r="D61" s="7"/>
      <c r="E61" s="2"/>
      <c r="F61" s="6">
        <f t="shared" si="32"/>
        <v>0</v>
      </c>
      <c r="G61" s="2"/>
      <c r="H61" s="7">
        <v>125</v>
      </c>
      <c r="I61" s="2"/>
      <c r="J61" s="6">
        <f t="shared" si="33"/>
        <v>0</v>
      </c>
      <c r="K61" s="2"/>
      <c r="L61" s="7">
        <f t="shared" si="34"/>
        <v>-125</v>
      </c>
      <c r="M61" s="2"/>
      <c r="N61" s="6">
        <f t="shared" si="35"/>
        <v>-1</v>
      </c>
      <c r="O61" s="11"/>
      <c r="P61" s="7"/>
      <c r="Q61" s="2"/>
      <c r="R61" s="6">
        <f t="shared" si="36"/>
        <v>0</v>
      </c>
      <c r="S61" s="2"/>
      <c r="T61" s="7">
        <v>375</v>
      </c>
      <c r="U61" s="2"/>
      <c r="V61" s="6">
        <f t="shared" si="37"/>
        <v>0</v>
      </c>
      <c r="W61" s="2"/>
      <c r="X61" s="7">
        <f t="shared" si="38"/>
        <v>-375</v>
      </c>
      <c r="Y61" s="2"/>
      <c r="Z61" s="6">
        <f t="shared" si="39"/>
        <v>-1</v>
      </c>
    </row>
    <row r="62" spans="1:26" s="24" customFormat="1" hidden="1" outlineLevel="2" x14ac:dyDescent="0.25">
      <c r="A62" s="29"/>
      <c r="B62" s="11" t="str">
        <f>CONCATENATE("          ", "6241", " - ", "OFFICE EXPENSE")</f>
        <v xml:space="preserve">          6241 - OFFICE EXPENSE</v>
      </c>
      <c r="C62" s="11"/>
      <c r="D62" s="7"/>
      <c r="E62" s="2"/>
      <c r="F62" s="6">
        <f t="shared" si="32"/>
        <v>0</v>
      </c>
      <c r="G62" s="2"/>
      <c r="H62" s="7"/>
      <c r="I62" s="2"/>
      <c r="J62" s="6">
        <f t="shared" si="33"/>
        <v>0</v>
      </c>
      <c r="K62" s="2"/>
      <c r="L62" s="7">
        <f t="shared" si="34"/>
        <v>0</v>
      </c>
      <c r="M62" s="2"/>
      <c r="N62" s="6">
        <f t="shared" si="35"/>
        <v>0</v>
      </c>
      <c r="O62" s="11"/>
      <c r="P62" s="7">
        <v>25.89</v>
      </c>
      <c r="Q62" s="2"/>
      <c r="R62" s="6">
        <f t="shared" si="36"/>
        <v>0</v>
      </c>
      <c r="S62" s="2"/>
      <c r="T62" s="7"/>
      <c r="U62" s="2"/>
      <c r="V62" s="6">
        <f t="shared" si="37"/>
        <v>0</v>
      </c>
      <c r="W62" s="2"/>
      <c r="X62" s="7">
        <f t="shared" si="38"/>
        <v>25.89</v>
      </c>
      <c r="Y62" s="2"/>
      <c r="Z62" s="6">
        <f t="shared" si="39"/>
        <v>0</v>
      </c>
    </row>
    <row r="63" spans="1:26" s="28" customFormat="1" outlineLevel="1" collapsed="1" x14ac:dyDescent="0.25">
      <c r="A63" s="27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SUM(OSRRefD22_12x_0)</f>
        <v>428.03</v>
      </c>
      <c r="E63" s="1"/>
      <c r="F63" s="5">
        <f t="shared" ref="F63:F64" si="40">IF(D$12=0,0,D63/D$12)</f>
        <v>0</v>
      </c>
      <c r="G63" s="1"/>
      <c r="H63" s="1">
        <f>SUM(OSRRefH22_12x_0)</f>
        <v>425</v>
      </c>
      <c r="I63" s="1"/>
      <c r="J63" s="5">
        <f t="shared" ref="J63:J64" si="41">IF(H$12=0,0,H63/H$12)</f>
        <v>0</v>
      </c>
      <c r="K63" s="1"/>
      <c r="L63" s="1">
        <f t="shared" ref="L63:L64" si="42">+D63-H63</f>
        <v>3.0299999999999727</v>
      </c>
      <c r="M63" s="1"/>
      <c r="N63" s="5">
        <f t="shared" ref="N63:N64" si="43">IF(H63=0,0,L63/H63)</f>
        <v>7.1294117647058182E-3</v>
      </c>
      <c r="O63" s="14"/>
      <c r="P63" s="1">
        <f>SUM(OSRRefP22_12x_0)</f>
        <v>1358.19</v>
      </c>
      <c r="Q63" s="1"/>
      <c r="R63" s="5">
        <f t="shared" ref="R63:R64" si="44">IF(P$12=0,0,P63/P$12)</f>
        <v>0</v>
      </c>
      <c r="S63" s="1"/>
      <c r="T63" s="1">
        <f>SUM(OSRRefT22_12x_0)</f>
        <v>1275</v>
      </c>
      <c r="U63" s="1"/>
      <c r="V63" s="5">
        <f t="shared" ref="V63:V64" si="45">IF(T$12=0,0,T63/T$12)</f>
        <v>0</v>
      </c>
      <c r="W63" s="1"/>
      <c r="X63" s="1">
        <f t="shared" ref="X63:X64" si="46">+P63-T63</f>
        <v>83.190000000000055</v>
      </c>
      <c r="Y63" s="1"/>
      <c r="Z63" s="5">
        <f t="shared" ref="Z63:Z64" si="47">IF(T63=0,0,X63/T63)</f>
        <v>6.524705882352945E-2</v>
      </c>
    </row>
    <row r="64" spans="1:26" s="24" customFormat="1" hidden="1" outlineLevel="2" x14ac:dyDescent="0.25">
      <c r="A64" s="29"/>
      <c r="B64" s="11" t="str">
        <f>CONCATENATE("          ", "6309", " - ", "TELEPHONE")</f>
        <v xml:space="preserve">          6309 - TELEPHONE</v>
      </c>
      <c r="C64" s="11"/>
      <c r="D64" s="7">
        <v>428.03</v>
      </c>
      <c r="E64" s="2"/>
      <c r="F64" s="6">
        <f t="shared" si="40"/>
        <v>0</v>
      </c>
      <c r="G64" s="2"/>
      <c r="H64" s="7">
        <v>425</v>
      </c>
      <c r="I64" s="2"/>
      <c r="J64" s="6">
        <f t="shared" si="41"/>
        <v>0</v>
      </c>
      <c r="K64" s="2"/>
      <c r="L64" s="7">
        <f t="shared" si="42"/>
        <v>3.0299999999999727</v>
      </c>
      <c r="M64" s="2"/>
      <c r="N64" s="6">
        <f t="shared" si="43"/>
        <v>7.1294117647058182E-3</v>
      </c>
      <c r="O64" s="11"/>
      <c r="P64" s="7">
        <v>1358.19</v>
      </c>
      <c r="Q64" s="2"/>
      <c r="R64" s="6">
        <f t="shared" si="44"/>
        <v>0</v>
      </c>
      <c r="S64" s="2"/>
      <c r="T64" s="7">
        <v>1275</v>
      </c>
      <c r="U64" s="2"/>
      <c r="V64" s="6">
        <f t="shared" si="45"/>
        <v>0</v>
      </c>
      <c r="W64" s="2"/>
      <c r="X64" s="7">
        <f t="shared" si="46"/>
        <v>83.190000000000055</v>
      </c>
      <c r="Y64" s="2"/>
      <c r="Z64" s="6">
        <f t="shared" si="47"/>
        <v>6.524705882352945E-2</v>
      </c>
    </row>
    <row r="65" spans="1:26" s="58" customFormat="1" x14ac:dyDescent="0.25">
      <c r="A65" s="36"/>
      <c r="B65" s="36"/>
      <c r="C65" s="36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6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6" t="s">
        <v>293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5" t="s">
        <v>277</v>
      </c>
      <c r="C68" s="25"/>
      <c r="D68" s="21">
        <f>+D16-D18+D66</f>
        <v>-43782.289999999994</v>
      </c>
      <c r="E68" s="13"/>
      <c r="F68" s="20">
        <f>IF(D$12=0,0,D68/D$12)</f>
        <v>0</v>
      </c>
      <c r="G68" s="13"/>
      <c r="H68" s="21">
        <f>+H16-H18+H66</f>
        <v>-52542.382430769183</v>
      </c>
      <c r="I68" s="13"/>
      <c r="J68" s="20">
        <f>IF(H$12=0,0,H68/H$12)</f>
        <v>0</v>
      </c>
      <c r="K68" s="16"/>
      <c r="L68" s="21">
        <f>+D68-H68</f>
        <v>8760.0924307691894</v>
      </c>
      <c r="M68" s="16"/>
      <c r="N68" s="20">
        <f>IF(H68=0,0,L68/H68)</f>
        <v>-0.16672430950978764</v>
      </c>
      <c r="O68" s="26"/>
      <c r="P68" s="21">
        <f>+P16-P18+P66</f>
        <v>-108138.82</v>
      </c>
      <c r="Q68" s="13"/>
      <c r="R68" s="20">
        <f>IF(P$12=0,0,P68/P$12)</f>
        <v>0</v>
      </c>
      <c r="S68" s="13"/>
      <c r="T68" s="21">
        <f>+T16-T18+T66</f>
        <v>-143107.2428999999</v>
      </c>
      <c r="U68" s="13"/>
      <c r="V68" s="20">
        <f>IF(T$12=0,0,T68/T$12)</f>
        <v>0</v>
      </c>
      <c r="W68" s="16"/>
      <c r="X68" s="21">
        <f>+P68-T68</f>
        <v>34968.422899999889</v>
      </c>
      <c r="Y68" s="16"/>
      <c r="Z68" s="20">
        <f>IF(T68=0,0,X68/T68)</f>
        <v>-0.24435117462527758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52"/>
      <c r="B70" s="10" t="s">
        <v>128</v>
      </c>
      <c r="C70" s="10"/>
      <c r="D70" s="4"/>
      <c r="E70" s="4"/>
      <c r="F70" s="12">
        <f>IF(D$12=0,0,D70/D$12)</f>
        <v>0</v>
      </c>
      <c r="G70" s="4"/>
      <c r="H70" s="4"/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/>
      <c r="Q70" s="4"/>
      <c r="R70" s="12">
        <f>IF(P$12=0,0,P70/P$12)</f>
        <v>0</v>
      </c>
      <c r="S70" s="4"/>
      <c r="T70" s="4"/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5" t="s">
        <v>126</v>
      </c>
      <c r="C72" s="25"/>
      <c r="D72" s="33">
        <f>+D68-D70</f>
        <v>-43782.289999999994</v>
      </c>
      <c r="E72" s="13"/>
      <c r="F72" s="31">
        <f>IF(D$12=0,0,D72/D$12)</f>
        <v>0</v>
      </c>
      <c r="G72" s="13"/>
      <c r="H72" s="33">
        <f>+H68-H70</f>
        <v>-52542.382430769183</v>
      </c>
      <c r="I72" s="13"/>
      <c r="J72" s="31">
        <f>IF(H$12=0,0,H72/H$12)</f>
        <v>0</v>
      </c>
      <c r="K72" s="16"/>
      <c r="L72" s="33">
        <f>D72-H72</f>
        <v>8760.0924307691894</v>
      </c>
      <c r="M72" s="16"/>
      <c r="N72" s="31">
        <f>IF(H72=0,0,L72/H72)</f>
        <v>-0.16672430950978764</v>
      </c>
      <c r="O72" s="26"/>
      <c r="P72" s="33">
        <f>+P68-P70</f>
        <v>-108138.82</v>
      </c>
      <c r="Q72" s="13"/>
      <c r="R72" s="31">
        <f>IF(P$12=0,0,P72/P$12)</f>
        <v>0</v>
      </c>
      <c r="S72" s="13"/>
      <c r="T72" s="33">
        <f>+T68-T70</f>
        <v>-143107.2428999999</v>
      </c>
      <c r="U72" s="13"/>
      <c r="V72" s="31">
        <f>IF(T$12=0,0,T72/T$12)</f>
        <v>0</v>
      </c>
      <c r="W72" s="16"/>
      <c r="X72" s="33">
        <f>P72-T72</f>
        <v>34968.422899999889</v>
      </c>
      <c r="Y72" s="16"/>
      <c r="Z72" s="31">
        <f>IF(T72=0,0,X72/T72)</f>
        <v>-0.24435117462527758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5" t="s">
        <v>294</v>
      </c>
      <c r="C75" s="25"/>
      <c r="D75" s="35">
        <f>SUM(D72:D74)</f>
        <v>-43782.289999999994</v>
      </c>
      <c r="E75" s="13"/>
      <c r="F75" s="34">
        <f>IF(D$12=0,0,D75/D$12)</f>
        <v>0</v>
      </c>
      <c r="G75" s="13"/>
      <c r="H75" s="35">
        <f>SUM(H72:H74)</f>
        <v>-52542.382430769183</v>
      </c>
      <c r="I75" s="13"/>
      <c r="J75" s="34">
        <f>IF(H$12=0,0,H75/H$12)</f>
        <v>0</v>
      </c>
      <c r="K75" s="16"/>
      <c r="L75" s="35">
        <f>+D75-H75</f>
        <v>8760.0924307691894</v>
      </c>
      <c r="M75" s="16"/>
      <c r="N75" s="34">
        <f>IF(H75=0,0,L75/H75)</f>
        <v>-0.16672430950978764</v>
      </c>
      <c r="O75" s="26"/>
      <c r="P75" s="35">
        <f>SUM(P72:P74)</f>
        <v>-108138.82</v>
      </c>
      <c r="Q75" s="13"/>
      <c r="R75" s="34">
        <f>IF(P$12=0,0,P75/P$12)</f>
        <v>0</v>
      </c>
      <c r="S75" s="13"/>
      <c r="T75" s="35">
        <f>SUM(T72:T74)</f>
        <v>-143107.2428999999</v>
      </c>
      <c r="U75" s="13"/>
      <c r="V75" s="34">
        <f>IF(T$12=0,0,T75/T$12)</f>
        <v>0</v>
      </c>
      <c r="W75" s="16"/>
      <c r="X75" s="35">
        <f>+P75-T75</f>
        <v>34968.422899999889</v>
      </c>
      <c r="Y75" s="16"/>
      <c r="Z75" s="34">
        <f>IF(T75=0,0,X75/T75)</f>
        <v>-0.24435117462527758</v>
      </c>
    </row>
    <row r="76" spans="1:26" ht="15.75" thickTop="1" x14ac:dyDescent="0.25">
      <c r="A76" s="9"/>
      <c r="C76" s="9"/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A77" s="9"/>
      <c r="B77" s="61">
        <v>44481.978956793981</v>
      </c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6" t="s">
        <v>56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4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","202", " - ", "Accounting")</f>
        <v>Department 202 - Accounting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108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295</v>
      </c>
      <c r="C18" s="10"/>
      <c r="D18" s="22">
        <f>SUM(OSRRefD22x_0)</f>
        <v>37567.949999999997</v>
      </c>
      <c r="E18" s="22"/>
      <c r="F18" s="32">
        <f t="shared" ref="F18:F28" si="0">IF(D$12=0,0,D18/D$12)</f>
        <v>0</v>
      </c>
      <c r="G18" s="22"/>
      <c r="H18" s="22">
        <f>SUM(OSRRefH22x_0)</f>
        <v>37946.109144307673</v>
      </c>
      <c r="I18" s="22"/>
      <c r="J18" s="32">
        <f t="shared" ref="J18:J28" si="1">IF(H$12=0,0,H18/H$12)</f>
        <v>0</v>
      </c>
      <c r="K18" s="4"/>
      <c r="L18" s="22">
        <f t="shared" ref="L18:L28" si="2">+D18-H18</f>
        <v>-378.15914430767589</v>
      </c>
      <c r="M18" s="4"/>
      <c r="N18" s="32">
        <f t="shared" ref="N18:N28" si="3">IF(H18=0,0,L18/H18)</f>
        <v>-9.9656895749060965E-3</v>
      </c>
      <c r="O18" s="10"/>
      <c r="P18" s="22">
        <f>SUM(OSRRefP22x_0)</f>
        <v>119859.4</v>
      </c>
      <c r="Q18" s="22"/>
      <c r="R18" s="32">
        <f t="shared" ref="R18:R28" si="4">IF(P$12=0,0,P18/P$12)</f>
        <v>0</v>
      </c>
      <c r="S18" s="22"/>
      <c r="T18" s="22">
        <f>SUM(OSRRefT22x_0)</f>
        <v>115585.44671899991</v>
      </c>
      <c r="U18" s="22"/>
      <c r="V18" s="32">
        <f t="shared" ref="V18:V28" si="5">IF(T$12=0,0,T18/T$12)</f>
        <v>0</v>
      </c>
      <c r="W18" s="4"/>
      <c r="X18" s="22">
        <f t="shared" ref="X18:X28" si="6">+P18-T18</f>
        <v>4273.9532810000819</v>
      </c>
      <c r="Y18" s="4"/>
      <c r="Z18" s="32">
        <f t="shared" ref="Z18:Z28" si="7">IF(T18=0,0,X18/T18)</f>
        <v>3.6976569302799002E-2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12831.35</v>
      </c>
      <c r="E19" s="1"/>
      <c r="F19" s="5">
        <f t="shared" si="0"/>
        <v>0</v>
      </c>
      <c r="G19" s="1"/>
      <c r="H19" s="1">
        <f>SUM(OSRRefH22_0x_0)</f>
        <v>12757.33375969231</v>
      </c>
      <c r="I19" s="1"/>
      <c r="J19" s="5">
        <f t="shared" si="1"/>
        <v>0</v>
      </c>
      <c r="K19" s="1"/>
      <c r="L19" s="1">
        <f t="shared" si="2"/>
        <v>74.016240307690168</v>
      </c>
      <c r="M19" s="1"/>
      <c r="N19" s="5">
        <f t="shared" si="3"/>
        <v>5.8018581078085191E-3</v>
      </c>
      <c r="O19" s="14"/>
      <c r="P19" s="1">
        <f>SUM(OSRRefP22_0x_0)</f>
        <v>38509.550000000003</v>
      </c>
      <c r="Q19" s="1"/>
      <c r="R19" s="5">
        <f t="shared" si="4"/>
        <v>0</v>
      </c>
      <c r="S19" s="1"/>
      <c r="T19" s="1">
        <f>SUM(OSRRefT22_0x_0)</f>
        <v>39578.176719000017</v>
      </c>
      <c r="U19" s="1"/>
      <c r="V19" s="5">
        <f t="shared" si="5"/>
        <v>0</v>
      </c>
      <c r="W19" s="1"/>
      <c r="X19" s="1">
        <f t="shared" si="6"/>
        <v>-1068.6267190000144</v>
      </c>
      <c r="Y19" s="1"/>
      <c r="Z19" s="5">
        <f t="shared" si="7"/>
        <v>-2.7000402938900575E-2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1630.16</v>
      </c>
      <c r="E20" s="2"/>
      <c r="F20" s="6">
        <f t="shared" si="0"/>
        <v>0</v>
      </c>
      <c r="G20" s="2"/>
      <c r="H20" s="7">
        <v>1673.77703353846</v>
      </c>
      <c r="I20" s="2"/>
      <c r="J20" s="6">
        <f t="shared" si="1"/>
        <v>0</v>
      </c>
      <c r="K20" s="2"/>
      <c r="L20" s="7">
        <f t="shared" si="2"/>
        <v>-43.617033538459964</v>
      </c>
      <c r="M20" s="2"/>
      <c r="N20" s="6">
        <f t="shared" si="3"/>
        <v>-2.605904649453283E-2</v>
      </c>
      <c r="O20" s="11"/>
      <c r="P20" s="7">
        <v>4884.68</v>
      </c>
      <c r="Q20" s="2"/>
      <c r="R20" s="6">
        <f t="shared" si="4"/>
        <v>0</v>
      </c>
      <c r="S20" s="2"/>
      <c r="T20" s="7">
        <v>5439.7753590000002</v>
      </c>
      <c r="U20" s="2"/>
      <c r="V20" s="6">
        <f t="shared" si="5"/>
        <v>0</v>
      </c>
      <c r="W20" s="2"/>
      <c r="X20" s="7">
        <f t="shared" si="6"/>
        <v>-555.09535899999992</v>
      </c>
      <c r="Y20" s="2"/>
      <c r="Z20" s="6">
        <f t="shared" si="7"/>
        <v>-0.10204380187898857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286.45</v>
      </c>
      <c r="E21" s="2"/>
      <c r="F21" s="6">
        <f t="shared" si="0"/>
        <v>0</v>
      </c>
      <c r="G21" s="2"/>
      <c r="H21" s="7">
        <v>74.743670769230803</v>
      </c>
      <c r="I21" s="2"/>
      <c r="J21" s="6">
        <f t="shared" si="1"/>
        <v>0</v>
      </c>
      <c r="K21" s="2"/>
      <c r="L21" s="7">
        <f t="shared" si="2"/>
        <v>211.7063292307692</v>
      </c>
      <c r="M21" s="2"/>
      <c r="N21" s="6">
        <f t="shared" si="3"/>
        <v>2.8324315229901824</v>
      </c>
      <c r="O21" s="11"/>
      <c r="P21" s="7">
        <v>835.25</v>
      </c>
      <c r="Q21" s="2"/>
      <c r="R21" s="6">
        <f t="shared" si="4"/>
        <v>0</v>
      </c>
      <c r="S21" s="2"/>
      <c r="T21" s="7">
        <v>227.29293000000001</v>
      </c>
      <c r="U21" s="2"/>
      <c r="V21" s="6">
        <f t="shared" si="5"/>
        <v>0</v>
      </c>
      <c r="W21" s="2"/>
      <c r="X21" s="7">
        <f t="shared" si="6"/>
        <v>607.95706999999993</v>
      </c>
      <c r="Y21" s="2"/>
      <c r="Z21" s="6">
        <f t="shared" si="7"/>
        <v>2.6747733420480784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6266.66</v>
      </c>
      <c r="E22" s="2"/>
      <c r="F22" s="6">
        <f t="shared" si="0"/>
        <v>0</v>
      </c>
      <c r="G22" s="2"/>
      <c r="H22" s="7">
        <v>6123</v>
      </c>
      <c r="I22" s="2"/>
      <c r="J22" s="6">
        <f t="shared" si="1"/>
        <v>0</v>
      </c>
      <c r="K22" s="2"/>
      <c r="L22" s="7">
        <f t="shared" si="2"/>
        <v>143.65999999999985</v>
      </c>
      <c r="M22" s="2"/>
      <c r="N22" s="6">
        <f t="shared" si="3"/>
        <v>2.3462355054711719E-2</v>
      </c>
      <c r="O22" s="11"/>
      <c r="P22" s="7">
        <v>18709.98</v>
      </c>
      <c r="Q22" s="2"/>
      <c r="R22" s="6">
        <f t="shared" si="4"/>
        <v>0</v>
      </c>
      <c r="S22" s="2"/>
      <c r="T22" s="7">
        <v>18369</v>
      </c>
      <c r="U22" s="2"/>
      <c r="V22" s="6">
        <f t="shared" si="5"/>
        <v>0</v>
      </c>
      <c r="W22" s="2"/>
      <c r="X22" s="7">
        <f t="shared" si="6"/>
        <v>340.97999999999956</v>
      </c>
      <c r="Y22" s="2"/>
      <c r="Z22" s="6">
        <f t="shared" si="7"/>
        <v>1.856279601502529E-2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57.74</v>
      </c>
      <c r="E23" s="2"/>
      <c r="F23" s="6">
        <f t="shared" si="0"/>
        <v>0</v>
      </c>
      <c r="G23" s="2"/>
      <c r="H23" s="7">
        <v>50.632809230769197</v>
      </c>
      <c r="I23" s="2"/>
      <c r="J23" s="6">
        <f t="shared" si="1"/>
        <v>0</v>
      </c>
      <c r="K23" s="2"/>
      <c r="L23" s="7">
        <f t="shared" si="2"/>
        <v>7.1071907692308045</v>
      </c>
      <c r="M23" s="2"/>
      <c r="N23" s="6">
        <f t="shared" si="3"/>
        <v>0.14036730091033178</v>
      </c>
      <c r="O23" s="11"/>
      <c r="P23" s="7">
        <v>168.35</v>
      </c>
      <c r="Q23" s="2"/>
      <c r="R23" s="6">
        <f t="shared" si="4"/>
        <v>0</v>
      </c>
      <c r="S23" s="2"/>
      <c r="T23" s="7">
        <v>153.97263000000001</v>
      </c>
      <c r="U23" s="2"/>
      <c r="V23" s="6">
        <f t="shared" si="5"/>
        <v>0</v>
      </c>
      <c r="W23" s="2"/>
      <c r="X23" s="7">
        <f t="shared" si="6"/>
        <v>14.377369999999985</v>
      </c>
      <c r="Y23" s="2"/>
      <c r="Z23" s="6">
        <f t="shared" si="7"/>
        <v>9.3376140941412666E-2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1947.91</v>
      </c>
      <c r="E24" s="2"/>
      <c r="F24" s="6">
        <f t="shared" si="0"/>
        <v>0</v>
      </c>
      <c r="G24" s="2"/>
      <c r="H24" s="7">
        <v>1880.89409230769</v>
      </c>
      <c r="I24" s="2"/>
      <c r="J24" s="6">
        <f t="shared" si="1"/>
        <v>0</v>
      </c>
      <c r="K24" s="2"/>
      <c r="L24" s="7">
        <f t="shared" si="2"/>
        <v>67.015907692310066</v>
      </c>
      <c r="M24" s="2"/>
      <c r="N24" s="6">
        <f t="shared" si="3"/>
        <v>3.5629814547446154E-2</v>
      </c>
      <c r="O24" s="11"/>
      <c r="P24" s="7">
        <v>5843.73</v>
      </c>
      <c r="Q24" s="2"/>
      <c r="R24" s="6">
        <f t="shared" si="4"/>
        <v>0</v>
      </c>
      <c r="S24" s="2"/>
      <c r="T24" s="7">
        <v>6112.9058000000005</v>
      </c>
      <c r="U24" s="2"/>
      <c r="V24" s="6">
        <f t="shared" si="5"/>
        <v>0</v>
      </c>
      <c r="W24" s="2"/>
      <c r="X24" s="7">
        <f t="shared" si="6"/>
        <v>-269.17580000000089</v>
      </c>
      <c r="Y24" s="2"/>
      <c r="Z24" s="6">
        <f t="shared" si="7"/>
        <v>-4.4034017340820283E-2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1164.3399999999999</v>
      </c>
      <c r="E26" s="2"/>
      <c r="F26" s="6">
        <f t="shared" si="0"/>
        <v>0</v>
      </c>
      <c r="G26" s="2"/>
      <c r="H26" s="7">
        <v>1093.54307692308</v>
      </c>
      <c r="I26" s="2"/>
      <c r="J26" s="6">
        <f t="shared" si="1"/>
        <v>0</v>
      </c>
      <c r="K26" s="2"/>
      <c r="L26" s="7">
        <f t="shared" si="2"/>
        <v>70.796923076919938</v>
      </c>
      <c r="M26" s="2"/>
      <c r="N26" s="6">
        <f t="shared" si="3"/>
        <v>6.4740863502261284E-2</v>
      </c>
      <c r="O26" s="11"/>
      <c r="P26" s="7">
        <v>3760.07</v>
      </c>
      <c r="Q26" s="2"/>
      <c r="R26" s="6">
        <f t="shared" si="4"/>
        <v>0</v>
      </c>
      <c r="S26" s="2"/>
      <c r="T26" s="7">
        <v>3554.0150000000099</v>
      </c>
      <c r="U26" s="2"/>
      <c r="V26" s="6">
        <f t="shared" si="5"/>
        <v>0</v>
      </c>
      <c r="W26" s="2"/>
      <c r="X26" s="7">
        <f t="shared" si="6"/>
        <v>206.05499999999029</v>
      </c>
      <c r="Y26" s="2"/>
      <c r="Z26" s="6">
        <f t="shared" si="7"/>
        <v>5.7978089569118228E-2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979.42</v>
      </c>
      <c r="E27" s="2"/>
      <c r="F27" s="6">
        <f t="shared" si="0"/>
        <v>0</v>
      </c>
      <c r="G27" s="2"/>
      <c r="H27" s="7">
        <v>1160.74307692308</v>
      </c>
      <c r="I27" s="2"/>
      <c r="J27" s="6">
        <f t="shared" si="1"/>
        <v>0</v>
      </c>
      <c r="K27" s="2"/>
      <c r="L27" s="7">
        <f t="shared" si="2"/>
        <v>-181.32307692308007</v>
      </c>
      <c r="M27" s="2"/>
      <c r="N27" s="6">
        <f t="shared" si="3"/>
        <v>-0.15621292991359875</v>
      </c>
      <c r="O27" s="11"/>
      <c r="P27" s="7">
        <v>2938.26</v>
      </c>
      <c r="Q27" s="2"/>
      <c r="R27" s="6">
        <f t="shared" si="4"/>
        <v>0</v>
      </c>
      <c r="S27" s="2"/>
      <c r="T27" s="7">
        <v>3621.2150000000101</v>
      </c>
      <c r="U27" s="2"/>
      <c r="V27" s="6">
        <f t="shared" si="5"/>
        <v>0</v>
      </c>
      <c r="W27" s="2"/>
      <c r="X27" s="7">
        <f t="shared" si="6"/>
        <v>-682.95500000000993</v>
      </c>
      <c r="Y27" s="2"/>
      <c r="Z27" s="6">
        <f t="shared" si="7"/>
        <v>-0.18859830195114291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498.67</v>
      </c>
      <c r="E28" s="2"/>
      <c r="F28" s="6">
        <f t="shared" si="0"/>
        <v>0</v>
      </c>
      <c r="G28" s="2"/>
      <c r="H28" s="7">
        <v>700</v>
      </c>
      <c r="I28" s="2"/>
      <c r="J28" s="6">
        <f t="shared" si="1"/>
        <v>0</v>
      </c>
      <c r="K28" s="2"/>
      <c r="L28" s="7">
        <f t="shared" si="2"/>
        <v>-201.32999999999998</v>
      </c>
      <c r="M28" s="2"/>
      <c r="N28" s="6">
        <f t="shared" si="3"/>
        <v>-0.28761428571428571</v>
      </c>
      <c r="O28" s="11"/>
      <c r="P28" s="7">
        <v>1369.23</v>
      </c>
      <c r="Q28" s="2"/>
      <c r="R28" s="6">
        <f t="shared" si="4"/>
        <v>0</v>
      </c>
      <c r="S28" s="2"/>
      <c r="T28" s="7">
        <v>2100</v>
      </c>
      <c r="U28" s="2"/>
      <c r="V28" s="6">
        <f t="shared" si="5"/>
        <v>0</v>
      </c>
      <c r="W28" s="2"/>
      <c r="X28" s="7">
        <f t="shared" si="6"/>
        <v>-730.77</v>
      </c>
      <c r="Y28" s="2"/>
      <c r="Z28" s="6">
        <f t="shared" si="7"/>
        <v>-0.34798571428571429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21607.759999999998</v>
      </c>
      <c r="E29" s="1"/>
      <c r="F29" s="5">
        <f t="shared" ref="F29:F39" si="8">IF(D$12=0,0,D29/D$12)</f>
        <v>0</v>
      </c>
      <c r="G29" s="1"/>
      <c r="H29" s="1">
        <f>SUM(OSRRefH22_1x_0)</f>
        <v>21923.775384615361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-316.01538461536256</v>
      </c>
      <c r="M29" s="1"/>
      <c r="N29" s="5">
        <f t="shared" ref="N29:N39" si="11">IF(H29=0,0,L29/H29)</f>
        <v>-1.4414277608277314E-2</v>
      </c>
      <c r="O29" s="14"/>
      <c r="P29" s="1">
        <f>SUM(OSRRefP22_1x_0)</f>
        <v>68526.740000000005</v>
      </c>
      <c r="Q29" s="1"/>
      <c r="R29" s="5">
        <f t="shared" ref="R29:R39" si="12">IF(P$12=0,0,P29/P$12)</f>
        <v>0</v>
      </c>
      <c r="S29" s="1"/>
      <c r="T29" s="1">
        <f>SUM(OSRRefT22_1x_0)</f>
        <v>66212.269999999902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2314.470000000103</v>
      </c>
      <c r="Y29" s="1"/>
      <c r="Z29" s="5">
        <f t="shared" ref="Z29:Z39" si="15">IF(T29=0,0,X29/T29)</f>
        <v>3.4955303601584817E-2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5581.9661538461596</v>
      </c>
      <c r="I30" s="2"/>
      <c r="J30" s="6">
        <f t="shared" si="9"/>
        <v>0</v>
      </c>
      <c r="K30" s="2"/>
      <c r="L30" s="7">
        <f t="shared" si="10"/>
        <v>-5581.9661538461596</v>
      </c>
      <c r="M30" s="2"/>
      <c r="N30" s="6">
        <f t="shared" si="11"/>
        <v>-1</v>
      </c>
      <c r="O30" s="11"/>
      <c r="P30" s="7"/>
      <c r="Q30" s="2"/>
      <c r="R30" s="6">
        <f t="shared" si="12"/>
        <v>0</v>
      </c>
      <c r="S30" s="2"/>
      <c r="T30" s="7">
        <v>18141.39</v>
      </c>
      <c r="U30" s="2"/>
      <c r="V30" s="6">
        <f t="shared" si="13"/>
        <v>0</v>
      </c>
      <c r="W30" s="2"/>
      <c r="X30" s="7">
        <f t="shared" si="14"/>
        <v>-18141.39</v>
      </c>
      <c r="Y30" s="2"/>
      <c r="Z30" s="6">
        <f t="shared" si="15"/>
        <v>-1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7">
        <v>20722.8</v>
      </c>
      <c r="E31" s="2"/>
      <c r="F31" s="6">
        <f t="shared" si="8"/>
        <v>0</v>
      </c>
      <c r="G31" s="2"/>
      <c r="H31" s="7">
        <v>14101.8092307692</v>
      </c>
      <c r="I31" s="2"/>
      <c r="J31" s="6">
        <f t="shared" si="9"/>
        <v>0</v>
      </c>
      <c r="K31" s="2"/>
      <c r="L31" s="7">
        <f t="shared" si="10"/>
        <v>6620.9907692307988</v>
      </c>
      <c r="M31" s="2"/>
      <c r="N31" s="6">
        <f t="shared" si="11"/>
        <v>0.46951356814445072</v>
      </c>
      <c r="O31" s="11"/>
      <c r="P31" s="7">
        <v>67436.78</v>
      </c>
      <c r="Q31" s="2"/>
      <c r="R31" s="6">
        <f t="shared" si="12"/>
        <v>0</v>
      </c>
      <c r="S31" s="2"/>
      <c r="T31" s="7">
        <v>45830.879999999903</v>
      </c>
      <c r="U31" s="2"/>
      <c r="V31" s="6">
        <f t="shared" si="13"/>
        <v>0</v>
      </c>
      <c r="W31" s="2"/>
      <c r="X31" s="7">
        <f t="shared" si="14"/>
        <v>21605.900000000096</v>
      </c>
      <c r="Y31" s="2"/>
      <c r="Z31" s="6">
        <f t="shared" si="15"/>
        <v>0.47142668873039623</v>
      </c>
    </row>
    <row r="32" spans="1:26" s="24" customFormat="1" hidden="1" outlineLevel="2" x14ac:dyDescent="0.25">
      <c r="A32" s="29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>
        <v>884.96</v>
      </c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884.96</v>
      </c>
      <c r="M36" s="2"/>
      <c r="N36" s="6">
        <f t="shared" si="11"/>
        <v>0</v>
      </c>
      <c r="O36" s="11"/>
      <c r="P36" s="7">
        <v>1089.96</v>
      </c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1089.96</v>
      </c>
      <c r="Y36" s="2"/>
      <c r="Z36" s="6">
        <f t="shared" si="15"/>
        <v>0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2240</v>
      </c>
      <c r="I37" s="2"/>
      <c r="J37" s="6">
        <f t="shared" si="9"/>
        <v>0</v>
      </c>
      <c r="K37" s="2"/>
      <c r="L37" s="7">
        <f t="shared" si="10"/>
        <v>-2240</v>
      </c>
      <c r="M37" s="2"/>
      <c r="N37" s="6">
        <f t="shared" si="11"/>
        <v>-1</v>
      </c>
      <c r="O37" s="11"/>
      <c r="P37" s="7"/>
      <c r="Q37" s="2"/>
      <c r="R37" s="6">
        <f t="shared" si="12"/>
        <v>0</v>
      </c>
      <c r="S37" s="2"/>
      <c r="T37" s="7">
        <v>2240</v>
      </c>
      <c r="U37" s="2"/>
      <c r="V37" s="6">
        <f t="shared" si="13"/>
        <v>0</v>
      </c>
      <c r="W37" s="2"/>
      <c r="X37" s="7">
        <f t="shared" si="14"/>
        <v>-2240</v>
      </c>
      <c r="Y37" s="2"/>
      <c r="Z37" s="6">
        <f t="shared" si="15"/>
        <v>-1</v>
      </c>
    </row>
    <row r="38" spans="1:26" s="24" customFormat="1" hidden="1" outlineLevel="2" x14ac:dyDescent="0.25">
      <c r="A38" s="29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9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25">
      <c r="A40" s="27"/>
      <c r="B40" s="14" t="str">
        <f>CONCATENATE("     ","Depreciation                                      ")</f>
        <v xml:space="preserve">     Depreciation                                      </v>
      </c>
      <c r="C40" s="14"/>
      <c r="D40" s="1">
        <f>SUM(OSRRefD22_2x_0)</f>
        <v>1558.88</v>
      </c>
      <c r="E40" s="1"/>
      <c r="F40" s="5">
        <f t="shared" ref="F40:F51" si="16">IF(D$12=0,0,D40/D$12)</f>
        <v>0</v>
      </c>
      <c r="G40" s="1"/>
      <c r="H40" s="1">
        <f>SUM(OSRRefH22_2x_0)</f>
        <v>1559</v>
      </c>
      <c r="I40" s="1"/>
      <c r="J40" s="5">
        <f t="shared" ref="J40:J51" si="17">IF(H$12=0,0,H40/H$12)</f>
        <v>0</v>
      </c>
      <c r="K40" s="1"/>
      <c r="L40" s="1">
        <f t="shared" ref="L40:L51" si="18">+D40-H40</f>
        <v>-0.11999999999989086</v>
      </c>
      <c r="M40" s="1"/>
      <c r="N40" s="5">
        <f t="shared" ref="N40:N51" si="19">IF(H40=0,0,L40/H40)</f>
        <v>-7.6972418216735637E-5</v>
      </c>
      <c r="O40" s="14"/>
      <c r="P40" s="1">
        <f>SUM(OSRRefP22_2x_0)</f>
        <v>4676.6400000000003</v>
      </c>
      <c r="Q40" s="1"/>
      <c r="R40" s="5">
        <f t="shared" ref="R40:R51" si="20">IF(P$12=0,0,P40/P$12)</f>
        <v>0</v>
      </c>
      <c r="S40" s="1"/>
      <c r="T40" s="1">
        <f>SUM(OSRRefT22_2x_0)</f>
        <v>4677</v>
      </c>
      <c r="U40" s="1"/>
      <c r="V40" s="5">
        <f t="shared" ref="V40:V51" si="21">IF(T$12=0,0,T40/T$12)</f>
        <v>0</v>
      </c>
      <c r="W40" s="1"/>
      <c r="X40" s="1">
        <f t="shared" ref="X40:X51" si="22">+P40-T40</f>
        <v>-0.35999999999967258</v>
      </c>
      <c r="Y40" s="1"/>
      <c r="Z40" s="5">
        <f t="shared" ref="Z40:Z51" si="23">IF(T40=0,0,X40/T40)</f>
        <v>-7.6972418216735637E-5</v>
      </c>
    </row>
    <row r="41" spans="1:26" s="24" customFormat="1" hidden="1" outlineLevel="2" x14ac:dyDescent="0.25">
      <c r="A41" s="29"/>
      <c r="B41" s="11" t="str">
        <f>CONCATENATE("          ", "6322", " - ", "EQUIPMENT DEPRECIATION EXPENSE")</f>
        <v xml:space="preserve">          6322 - EQUIPMENT DEPRECIATION EXPENSE</v>
      </c>
      <c r="C41" s="11"/>
      <c r="D41" s="7">
        <v>1558.88</v>
      </c>
      <c r="E41" s="2"/>
      <c r="F41" s="6">
        <f t="shared" si="16"/>
        <v>0</v>
      </c>
      <c r="G41" s="2"/>
      <c r="H41" s="7">
        <v>1559</v>
      </c>
      <c r="I41" s="2"/>
      <c r="J41" s="6">
        <f t="shared" si="17"/>
        <v>0</v>
      </c>
      <c r="K41" s="2"/>
      <c r="L41" s="7">
        <f t="shared" si="18"/>
        <v>-0.11999999999989086</v>
      </c>
      <c r="M41" s="2"/>
      <c r="N41" s="6">
        <f t="shared" si="19"/>
        <v>-7.6972418216735637E-5</v>
      </c>
      <c r="O41" s="11"/>
      <c r="P41" s="7">
        <v>4676.6400000000003</v>
      </c>
      <c r="Q41" s="2"/>
      <c r="R41" s="6">
        <f t="shared" si="20"/>
        <v>0</v>
      </c>
      <c r="S41" s="2"/>
      <c r="T41" s="7">
        <v>4677</v>
      </c>
      <c r="U41" s="2"/>
      <c r="V41" s="6">
        <f t="shared" si="21"/>
        <v>0</v>
      </c>
      <c r="W41" s="2"/>
      <c r="X41" s="7">
        <f t="shared" si="22"/>
        <v>-0.35999999999967258</v>
      </c>
      <c r="Y41" s="2"/>
      <c r="Z41" s="6">
        <f t="shared" si="23"/>
        <v>-7.6972418216735637E-5</v>
      </c>
    </row>
    <row r="42" spans="1:26" s="28" customFormat="1" outlineLevel="1" collapsed="1" x14ac:dyDescent="0.25">
      <c r="A42" s="27"/>
      <c r="B42" s="14" t="str">
        <f>CONCATENATE("     ","Equipment Rental                                  ")</f>
        <v xml:space="preserve">     Equipment Rental                                  </v>
      </c>
      <c r="C42" s="14"/>
      <c r="D42" s="1">
        <f>SUM(OSRRefD22_3x_0)</f>
        <v>91.26</v>
      </c>
      <c r="E42" s="1"/>
      <c r="F42" s="5">
        <f t="shared" si="16"/>
        <v>0</v>
      </c>
      <c r="G42" s="1"/>
      <c r="H42" s="1">
        <f>SUM(OSRRefH22_3x_0)</f>
        <v>91</v>
      </c>
      <c r="I42" s="1"/>
      <c r="J42" s="5">
        <f t="shared" si="17"/>
        <v>0</v>
      </c>
      <c r="K42" s="1"/>
      <c r="L42" s="1">
        <f t="shared" si="18"/>
        <v>0.26000000000000512</v>
      </c>
      <c r="M42" s="1"/>
      <c r="N42" s="5">
        <f t="shared" si="19"/>
        <v>2.8571428571429135E-3</v>
      </c>
      <c r="O42" s="14"/>
      <c r="P42" s="1">
        <f>SUM(OSRRefP22_3x_0)</f>
        <v>273.77999999999997</v>
      </c>
      <c r="Q42" s="1"/>
      <c r="R42" s="5">
        <f t="shared" si="20"/>
        <v>0</v>
      </c>
      <c r="S42" s="1"/>
      <c r="T42" s="1">
        <f>SUM(OSRRefT22_3x_0)</f>
        <v>273</v>
      </c>
      <c r="U42" s="1"/>
      <c r="V42" s="5">
        <f t="shared" si="21"/>
        <v>0</v>
      </c>
      <c r="W42" s="1"/>
      <c r="X42" s="1">
        <f t="shared" si="22"/>
        <v>0.77999999999997272</v>
      </c>
      <c r="Y42" s="1"/>
      <c r="Z42" s="5">
        <f t="shared" si="23"/>
        <v>2.8571428571427574E-3</v>
      </c>
    </row>
    <row r="43" spans="1:26" s="24" customFormat="1" hidden="1" outlineLevel="2" x14ac:dyDescent="0.25">
      <c r="A43" s="29"/>
      <c r="B43" s="11" t="str">
        <f>CONCATENATE("          ", "6351", " - ", "EQUIPMENT RENTAL")</f>
        <v xml:space="preserve">          6351 - EQUIPMENT RENTAL</v>
      </c>
      <c r="C43" s="11"/>
      <c r="D43" s="7">
        <v>91.26</v>
      </c>
      <c r="E43" s="2"/>
      <c r="F43" s="6">
        <f t="shared" si="16"/>
        <v>0</v>
      </c>
      <c r="G43" s="2"/>
      <c r="H43" s="7">
        <v>91</v>
      </c>
      <c r="I43" s="2"/>
      <c r="J43" s="6">
        <f t="shared" si="17"/>
        <v>0</v>
      </c>
      <c r="K43" s="2"/>
      <c r="L43" s="7">
        <f t="shared" si="18"/>
        <v>0.26000000000000512</v>
      </c>
      <c r="M43" s="2"/>
      <c r="N43" s="6">
        <f t="shared" si="19"/>
        <v>2.8571428571429135E-3</v>
      </c>
      <c r="O43" s="11"/>
      <c r="P43" s="7">
        <v>273.77999999999997</v>
      </c>
      <c r="Q43" s="2"/>
      <c r="R43" s="6">
        <f t="shared" si="20"/>
        <v>0</v>
      </c>
      <c r="S43" s="2"/>
      <c r="T43" s="7">
        <v>273</v>
      </c>
      <c r="U43" s="2"/>
      <c r="V43" s="6">
        <f t="shared" si="21"/>
        <v>0</v>
      </c>
      <c r="W43" s="2"/>
      <c r="X43" s="7">
        <f t="shared" si="22"/>
        <v>0.77999999999997272</v>
      </c>
      <c r="Y43" s="2"/>
      <c r="Z43" s="6">
        <f t="shared" si="23"/>
        <v>2.8571428571427574E-3</v>
      </c>
    </row>
    <row r="44" spans="1:26" s="28" customFormat="1" outlineLevel="1" collapsed="1" x14ac:dyDescent="0.25">
      <c r="A44" s="27"/>
      <c r="B44" s="14" t="str">
        <f>CONCATENATE("     ","Freight out/Postage                               ")</f>
        <v xml:space="preserve">     Freight out/Postage                               </v>
      </c>
      <c r="C44" s="14"/>
      <c r="D44" s="1">
        <f>SUM(OSRRefD22_4x_0)</f>
        <v>169.6</v>
      </c>
      <c r="E44" s="1"/>
      <c r="F44" s="5">
        <f t="shared" si="16"/>
        <v>0</v>
      </c>
      <c r="G44" s="1"/>
      <c r="H44" s="1">
        <f>SUM(OSRRefH22_4x_0)</f>
        <v>100</v>
      </c>
      <c r="I44" s="1"/>
      <c r="J44" s="5">
        <f t="shared" si="17"/>
        <v>0</v>
      </c>
      <c r="K44" s="1"/>
      <c r="L44" s="1">
        <f t="shared" si="18"/>
        <v>69.599999999999994</v>
      </c>
      <c r="M44" s="1"/>
      <c r="N44" s="5">
        <f t="shared" si="19"/>
        <v>0.69599999999999995</v>
      </c>
      <c r="O44" s="14"/>
      <c r="P44" s="1">
        <f>SUM(OSRRefP22_4x_0)</f>
        <v>366.35</v>
      </c>
      <c r="Q44" s="1"/>
      <c r="R44" s="5">
        <f t="shared" si="20"/>
        <v>0</v>
      </c>
      <c r="S44" s="1"/>
      <c r="T44" s="1">
        <f>SUM(OSRRefT22_4x_0)</f>
        <v>300</v>
      </c>
      <c r="U44" s="1"/>
      <c r="V44" s="5">
        <f t="shared" si="21"/>
        <v>0</v>
      </c>
      <c r="W44" s="1"/>
      <c r="X44" s="1">
        <f t="shared" si="22"/>
        <v>66.350000000000023</v>
      </c>
      <c r="Y44" s="1"/>
      <c r="Z44" s="5">
        <f t="shared" si="23"/>
        <v>0.22116666666666673</v>
      </c>
    </row>
    <row r="45" spans="1:26" s="24" customFormat="1" hidden="1" outlineLevel="2" x14ac:dyDescent="0.25">
      <c r="A45" s="29"/>
      <c r="B45" s="11" t="str">
        <f>CONCATENATE("          ", "6307", " - ", "POSTAGE")</f>
        <v xml:space="preserve">          6307 - POSTAGE</v>
      </c>
      <c r="C45" s="11"/>
      <c r="D45" s="7">
        <v>169.6</v>
      </c>
      <c r="E45" s="2"/>
      <c r="F45" s="6">
        <f t="shared" si="16"/>
        <v>0</v>
      </c>
      <c r="G45" s="2"/>
      <c r="H45" s="7">
        <v>100</v>
      </c>
      <c r="I45" s="2"/>
      <c r="J45" s="6">
        <f t="shared" si="17"/>
        <v>0</v>
      </c>
      <c r="K45" s="2"/>
      <c r="L45" s="7">
        <f t="shared" si="18"/>
        <v>69.599999999999994</v>
      </c>
      <c r="M45" s="2"/>
      <c r="N45" s="6">
        <f t="shared" si="19"/>
        <v>0.69599999999999995</v>
      </c>
      <c r="O45" s="11"/>
      <c r="P45" s="7">
        <v>366.35</v>
      </c>
      <c r="Q45" s="2"/>
      <c r="R45" s="6">
        <f t="shared" si="20"/>
        <v>0</v>
      </c>
      <c r="S45" s="2"/>
      <c r="T45" s="7">
        <v>300</v>
      </c>
      <c r="U45" s="2"/>
      <c r="V45" s="6">
        <f t="shared" si="21"/>
        <v>0</v>
      </c>
      <c r="W45" s="2"/>
      <c r="X45" s="7">
        <f t="shared" si="22"/>
        <v>66.350000000000023</v>
      </c>
      <c r="Y45" s="2"/>
      <c r="Z45" s="6">
        <f t="shared" si="23"/>
        <v>0.22116666666666673</v>
      </c>
    </row>
    <row r="46" spans="1:26" s="28" customFormat="1" outlineLevel="1" collapsed="1" x14ac:dyDescent="0.25">
      <c r="A46" s="27"/>
      <c r="B46" s="14" t="str">
        <f>CONCATENATE("     ","Insurance                                         ")</f>
        <v xml:space="preserve">     Insurance                                         </v>
      </c>
      <c r="C46" s="14"/>
      <c r="D46" s="1">
        <f>SUM(OSRRefD22_5x_0)</f>
        <v>179.64</v>
      </c>
      <c r="E46" s="1"/>
      <c r="F46" s="5">
        <f t="shared" si="16"/>
        <v>0</v>
      </c>
      <c r="G46" s="1"/>
      <c r="H46" s="1">
        <f>SUM(OSRRefH22_5x_0)</f>
        <v>180</v>
      </c>
      <c r="I46" s="1"/>
      <c r="J46" s="5">
        <f t="shared" si="17"/>
        <v>0</v>
      </c>
      <c r="K46" s="1"/>
      <c r="L46" s="1">
        <f t="shared" si="18"/>
        <v>-0.36000000000001364</v>
      </c>
      <c r="M46" s="1"/>
      <c r="N46" s="5">
        <f t="shared" si="19"/>
        <v>-2.0000000000000759E-3</v>
      </c>
      <c r="O46" s="14"/>
      <c r="P46" s="1">
        <f>SUM(OSRRefP22_5x_0)</f>
        <v>538.91999999999996</v>
      </c>
      <c r="Q46" s="1"/>
      <c r="R46" s="5">
        <f t="shared" si="20"/>
        <v>0</v>
      </c>
      <c r="S46" s="1"/>
      <c r="T46" s="1">
        <f>SUM(OSRRefT22_5x_0)</f>
        <v>540</v>
      </c>
      <c r="U46" s="1"/>
      <c r="V46" s="5">
        <f t="shared" si="21"/>
        <v>0</v>
      </c>
      <c r="W46" s="1"/>
      <c r="X46" s="1">
        <f t="shared" si="22"/>
        <v>-1.0800000000000409</v>
      </c>
      <c r="Y46" s="1"/>
      <c r="Z46" s="5">
        <f t="shared" si="23"/>
        <v>-2.0000000000000759E-3</v>
      </c>
    </row>
    <row r="47" spans="1:26" s="24" customFormat="1" hidden="1" outlineLevel="2" x14ac:dyDescent="0.25">
      <c r="A47" s="29"/>
      <c r="B47" s="11" t="str">
        <f>CONCATENATE("          ", "6314", " - ", "LIABILITY INSURANCE")</f>
        <v xml:space="preserve">          6314 - LIABILITY INSURANCE</v>
      </c>
      <c r="C47" s="11"/>
      <c r="D47" s="7">
        <v>179.64</v>
      </c>
      <c r="E47" s="2"/>
      <c r="F47" s="6">
        <f t="shared" si="16"/>
        <v>0</v>
      </c>
      <c r="G47" s="2"/>
      <c r="H47" s="7">
        <v>180</v>
      </c>
      <c r="I47" s="2"/>
      <c r="J47" s="6">
        <f t="shared" si="17"/>
        <v>0</v>
      </c>
      <c r="K47" s="2"/>
      <c r="L47" s="7">
        <f t="shared" si="18"/>
        <v>-0.36000000000001364</v>
      </c>
      <c r="M47" s="2"/>
      <c r="N47" s="6">
        <f t="shared" si="19"/>
        <v>-2.0000000000000759E-3</v>
      </c>
      <c r="O47" s="11"/>
      <c r="P47" s="7">
        <v>538.91999999999996</v>
      </c>
      <c r="Q47" s="2"/>
      <c r="R47" s="6">
        <f t="shared" si="20"/>
        <v>0</v>
      </c>
      <c r="S47" s="2"/>
      <c r="T47" s="7">
        <v>540</v>
      </c>
      <c r="U47" s="2"/>
      <c r="V47" s="6">
        <f t="shared" si="21"/>
        <v>0</v>
      </c>
      <c r="W47" s="2"/>
      <c r="X47" s="7">
        <f t="shared" si="22"/>
        <v>-1.0800000000000409</v>
      </c>
      <c r="Y47" s="2"/>
      <c r="Z47" s="6">
        <f t="shared" si="23"/>
        <v>-2.0000000000000759E-3</v>
      </c>
    </row>
    <row r="48" spans="1:26" s="28" customFormat="1" outlineLevel="1" collapsed="1" x14ac:dyDescent="0.25">
      <c r="A48" s="27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210</v>
      </c>
      <c r="I48" s="1"/>
      <c r="J48" s="5">
        <f t="shared" si="17"/>
        <v>0</v>
      </c>
      <c r="K48" s="1"/>
      <c r="L48" s="1">
        <f t="shared" si="18"/>
        <v>-210</v>
      </c>
      <c r="M48" s="1"/>
      <c r="N48" s="5">
        <f t="shared" si="19"/>
        <v>-1</v>
      </c>
      <c r="O48" s="14"/>
      <c r="P48" s="1">
        <f>SUM(OSRRefP22_6x_0)</f>
        <v>1677.46</v>
      </c>
      <c r="Q48" s="1"/>
      <c r="R48" s="5">
        <f t="shared" si="20"/>
        <v>0</v>
      </c>
      <c r="S48" s="1"/>
      <c r="T48" s="1">
        <f>SUM(OSRRefT22_6x_0)</f>
        <v>630</v>
      </c>
      <c r="U48" s="1"/>
      <c r="V48" s="5">
        <f t="shared" si="21"/>
        <v>0</v>
      </c>
      <c r="W48" s="1"/>
      <c r="X48" s="1">
        <f t="shared" si="22"/>
        <v>1047.46</v>
      </c>
      <c r="Y48" s="1"/>
      <c r="Z48" s="5">
        <f t="shared" si="23"/>
        <v>1.6626349206349207</v>
      </c>
    </row>
    <row r="49" spans="1:26" s="24" customFormat="1" hidden="1" outlineLevel="2" x14ac:dyDescent="0.25">
      <c r="A49" s="29"/>
      <c r="B49" s="11" t="str">
        <f>CONCATENATE("          ", "6371", " - ", "COMPUTER SOFTWARE MAINTENANCE")</f>
        <v xml:space="preserve">          6371 - COMPUTER SOFTWARE MAINTENANCE</v>
      </c>
      <c r="C49" s="11"/>
      <c r="D49" s="7"/>
      <c r="E49" s="2"/>
      <c r="F49" s="6">
        <f t="shared" si="16"/>
        <v>0</v>
      </c>
      <c r="G49" s="2"/>
      <c r="H49" s="7"/>
      <c r="I49" s="2"/>
      <c r="J49" s="6">
        <f t="shared" si="17"/>
        <v>0</v>
      </c>
      <c r="K49" s="2"/>
      <c r="L49" s="7">
        <f t="shared" si="18"/>
        <v>0</v>
      </c>
      <c r="M49" s="2"/>
      <c r="N49" s="6">
        <f t="shared" si="19"/>
        <v>0</v>
      </c>
      <c r="O49" s="11"/>
      <c r="P49" s="7">
        <v>119.9</v>
      </c>
      <c r="Q49" s="2"/>
      <c r="R49" s="6">
        <f t="shared" si="20"/>
        <v>0</v>
      </c>
      <c r="S49" s="2"/>
      <c r="T49" s="7"/>
      <c r="U49" s="2"/>
      <c r="V49" s="6">
        <f t="shared" si="21"/>
        <v>0</v>
      </c>
      <c r="W49" s="2"/>
      <c r="X49" s="7">
        <f t="shared" si="22"/>
        <v>119.9</v>
      </c>
      <c r="Y49" s="2"/>
      <c r="Z49" s="6">
        <f t="shared" si="23"/>
        <v>0</v>
      </c>
    </row>
    <row r="50" spans="1:26" s="24" customFormat="1" hidden="1" outlineLevel="2" x14ac:dyDescent="0.25">
      <c r="A50" s="29"/>
      <c r="B50" s="11" t="str">
        <f>CONCATENATE("          ", "6373", " - ", "MAINTENANCE CONTRACTS")</f>
        <v xml:space="preserve">          6373 - MAINTENANCE CONTRACTS</v>
      </c>
      <c r="C50" s="11"/>
      <c r="D50" s="7"/>
      <c r="E50" s="2"/>
      <c r="F50" s="6">
        <f t="shared" si="16"/>
        <v>0</v>
      </c>
      <c r="G50" s="2"/>
      <c r="H50" s="7">
        <v>60</v>
      </c>
      <c r="I50" s="2"/>
      <c r="J50" s="6">
        <f t="shared" si="17"/>
        <v>0</v>
      </c>
      <c r="K50" s="2"/>
      <c r="L50" s="7">
        <f t="shared" si="18"/>
        <v>-60</v>
      </c>
      <c r="M50" s="2"/>
      <c r="N50" s="6">
        <f t="shared" si="19"/>
        <v>-1</v>
      </c>
      <c r="O50" s="11"/>
      <c r="P50" s="7"/>
      <c r="Q50" s="2"/>
      <c r="R50" s="6">
        <f t="shared" si="20"/>
        <v>0</v>
      </c>
      <c r="S50" s="2"/>
      <c r="T50" s="7">
        <v>180</v>
      </c>
      <c r="U50" s="2"/>
      <c r="V50" s="6">
        <f t="shared" si="21"/>
        <v>0</v>
      </c>
      <c r="W50" s="2"/>
      <c r="X50" s="7">
        <f t="shared" si="22"/>
        <v>-180</v>
      </c>
      <c r="Y50" s="2"/>
      <c r="Z50" s="6">
        <f t="shared" si="23"/>
        <v>-1</v>
      </c>
    </row>
    <row r="51" spans="1:26" s="24" customFormat="1" hidden="1" outlineLevel="2" x14ac:dyDescent="0.25">
      <c r="A51" s="29"/>
      <c r="B51" s="11" t="str">
        <f>CONCATENATE("          ", "6375", " - ", "OUTSIDE REPAIRS &amp; MAINTENANCE")</f>
        <v xml:space="preserve">          6375 - OUTSIDE REPAIRS &amp; MAINTENANCE</v>
      </c>
      <c r="C51" s="11"/>
      <c r="D51" s="7"/>
      <c r="E51" s="2"/>
      <c r="F51" s="6">
        <f t="shared" si="16"/>
        <v>0</v>
      </c>
      <c r="G51" s="2"/>
      <c r="H51" s="7">
        <v>150</v>
      </c>
      <c r="I51" s="2"/>
      <c r="J51" s="6">
        <f t="shared" si="17"/>
        <v>0</v>
      </c>
      <c r="K51" s="2"/>
      <c r="L51" s="7">
        <f t="shared" si="18"/>
        <v>-150</v>
      </c>
      <c r="M51" s="2"/>
      <c r="N51" s="6">
        <f t="shared" si="19"/>
        <v>-1</v>
      </c>
      <c r="O51" s="11"/>
      <c r="P51" s="7">
        <v>1557.56</v>
      </c>
      <c r="Q51" s="2"/>
      <c r="R51" s="6">
        <f t="shared" si="20"/>
        <v>0</v>
      </c>
      <c r="S51" s="2"/>
      <c r="T51" s="7">
        <v>450</v>
      </c>
      <c r="U51" s="2"/>
      <c r="V51" s="6">
        <f t="shared" si="21"/>
        <v>0</v>
      </c>
      <c r="W51" s="2"/>
      <c r="X51" s="7">
        <f t="shared" si="22"/>
        <v>1107.56</v>
      </c>
      <c r="Y51" s="2"/>
      <c r="Z51" s="6">
        <f t="shared" si="23"/>
        <v>2.4612444444444441</v>
      </c>
    </row>
    <row r="52" spans="1:26" s="28" customFormat="1" outlineLevel="1" collapsed="1" x14ac:dyDescent="0.25">
      <c r="A52" s="27"/>
      <c r="B52" s="14" t="str">
        <f>CONCATENATE("     ","Services                                          ")</f>
        <v xml:space="preserve">     Services                                          </v>
      </c>
      <c r="C52" s="14"/>
      <c r="D52" s="1">
        <f>SUM(OSRRefD22_7x_0)</f>
        <v>657.38</v>
      </c>
      <c r="E52" s="1"/>
      <c r="F52" s="5">
        <f t="shared" ref="F52:F61" si="24">IF(D$12=0,0,D52/D$12)</f>
        <v>0</v>
      </c>
      <c r="G52" s="1"/>
      <c r="H52" s="1">
        <f>SUM(OSRRefH22_7x_0)</f>
        <v>625</v>
      </c>
      <c r="I52" s="1"/>
      <c r="J52" s="5">
        <f t="shared" ref="J52:J61" si="25">IF(H$12=0,0,H52/H$12)</f>
        <v>0</v>
      </c>
      <c r="K52" s="1"/>
      <c r="L52" s="1">
        <f t="shared" ref="L52:L61" si="26">+D52-H52</f>
        <v>32.379999999999995</v>
      </c>
      <c r="M52" s="1"/>
      <c r="N52" s="5">
        <f t="shared" ref="N52:N61" si="27">IF(H52=0,0,L52/H52)</f>
        <v>5.1807999999999993E-2</v>
      </c>
      <c r="O52" s="14"/>
      <c r="P52" s="1">
        <f>SUM(OSRRefP22_7x_0)</f>
        <v>2025.27</v>
      </c>
      <c r="Q52" s="1"/>
      <c r="R52" s="5">
        <f t="shared" ref="R52:R61" si="28">IF(P$12=0,0,P52/P$12)</f>
        <v>0</v>
      </c>
      <c r="S52" s="1"/>
      <c r="T52" s="1">
        <f>SUM(OSRRefT22_7x_0)</f>
        <v>1875</v>
      </c>
      <c r="U52" s="1"/>
      <c r="V52" s="5">
        <f t="shared" ref="V52:V61" si="29">IF(T$12=0,0,T52/T$12)</f>
        <v>0</v>
      </c>
      <c r="W52" s="1"/>
      <c r="X52" s="1">
        <f t="shared" ref="X52:X61" si="30">+P52-T52</f>
        <v>150.26999999999998</v>
      </c>
      <c r="Y52" s="1"/>
      <c r="Z52" s="5">
        <f t="shared" ref="Z52:Z61" si="31">IF(T52=0,0,X52/T52)</f>
        <v>8.0143999999999993E-2</v>
      </c>
    </row>
    <row r="53" spans="1:26" s="24" customFormat="1" hidden="1" outlineLevel="2" x14ac:dyDescent="0.25">
      <c r="A53" s="29"/>
      <c r="B53" s="11" t="str">
        <f>CONCATENATE("          ", "6281", " - ", "STORAGE FEE")</f>
        <v xml:space="preserve">          6281 - STORAGE FEE</v>
      </c>
      <c r="C53" s="11"/>
      <c r="D53" s="7">
        <v>657.38</v>
      </c>
      <c r="E53" s="2"/>
      <c r="F53" s="6">
        <f t="shared" si="24"/>
        <v>0</v>
      </c>
      <c r="G53" s="2"/>
      <c r="H53" s="7">
        <v>625</v>
      </c>
      <c r="I53" s="2"/>
      <c r="J53" s="6">
        <f t="shared" si="25"/>
        <v>0</v>
      </c>
      <c r="K53" s="2"/>
      <c r="L53" s="7">
        <f t="shared" si="26"/>
        <v>32.379999999999995</v>
      </c>
      <c r="M53" s="2"/>
      <c r="N53" s="6">
        <f t="shared" si="27"/>
        <v>5.1807999999999993E-2</v>
      </c>
      <c r="O53" s="11"/>
      <c r="P53" s="7">
        <v>2025.27</v>
      </c>
      <c r="Q53" s="2"/>
      <c r="R53" s="6">
        <f t="shared" si="28"/>
        <v>0</v>
      </c>
      <c r="S53" s="2"/>
      <c r="T53" s="7">
        <v>1875</v>
      </c>
      <c r="U53" s="2"/>
      <c r="V53" s="6">
        <f t="shared" si="29"/>
        <v>0</v>
      </c>
      <c r="W53" s="2"/>
      <c r="X53" s="7">
        <f t="shared" si="30"/>
        <v>150.26999999999998</v>
      </c>
      <c r="Y53" s="2"/>
      <c r="Z53" s="6">
        <f t="shared" si="31"/>
        <v>8.0143999999999993E-2</v>
      </c>
    </row>
    <row r="54" spans="1:26" s="28" customFormat="1" outlineLevel="1" collapsed="1" x14ac:dyDescent="0.25">
      <c r="A54" s="27"/>
      <c r="B54" s="14" t="str">
        <f>CONCATENATE("     ","Supplies                                          ")</f>
        <v xml:space="preserve">     Supplies                                          </v>
      </c>
      <c r="C54" s="14"/>
      <c r="D54" s="1">
        <f>SUM(OSRRefD22_8x_0)</f>
        <v>36.93</v>
      </c>
      <c r="E54" s="1"/>
      <c r="F54" s="5">
        <f t="shared" si="24"/>
        <v>0</v>
      </c>
      <c r="G54" s="1"/>
      <c r="H54" s="1">
        <f>SUM(OSRRefH22_8x_0)</f>
        <v>100</v>
      </c>
      <c r="I54" s="1"/>
      <c r="J54" s="5">
        <f t="shared" si="25"/>
        <v>0</v>
      </c>
      <c r="K54" s="1"/>
      <c r="L54" s="1">
        <f t="shared" si="26"/>
        <v>-63.07</v>
      </c>
      <c r="M54" s="1"/>
      <c r="N54" s="5">
        <f t="shared" si="27"/>
        <v>-0.63070000000000004</v>
      </c>
      <c r="O54" s="14"/>
      <c r="P54" s="1">
        <f>SUM(OSRRefP22_8x_0)</f>
        <v>1345.59</v>
      </c>
      <c r="Q54" s="1"/>
      <c r="R54" s="5">
        <f t="shared" si="28"/>
        <v>0</v>
      </c>
      <c r="S54" s="1"/>
      <c r="T54" s="1">
        <f>SUM(OSRRefT22_8x_0)</f>
        <v>300</v>
      </c>
      <c r="U54" s="1"/>
      <c r="V54" s="5">
        <f t="shared" si="29"/>
        <v>0</v>
      </c>
      <c r="W54" s="1"/>
      <c r="X54" s="1">
        <f t="shared" si="30"/>
        <v>1045.5899999999999</v>
      </c>
      <c r="Y54" s="1"/>
      <c r="Z54" s="5">
        <f t="shared" si="31"/>
        <v>3.4852999999999996</v>
      </c>
    </row>
    <row r="55" spans="1:26" s="24" customFormat="1" hidden="1" outlineLevel="2" x14ac:dyDescent="0.25">
      <c r="A55" s="29"/>
      <c r="B55" s="11" t="str">
        <f>CONCATENATE("          ", "6241", " - ", "OFFICE EXPENSE")</f>
        <v xml:space="preserve">          6241 - OFFICE EXPENSE</v>
      </c>
      <c r="C55" s="11"/>
      <c r="D55" s="7">
        <v>36.93</v>
      </c>
      <c r="E55" s="2"/>
      <c r="F55" s="6">
        <f t="shared" si="24"/>
        <v>0</v>
      </c>
      <c r="G55" s="2"/>
      <c r="H55" s="7">
        <v>100</v>
      </c>
      <c r="I55" s="2"/>
      <c r="J55" s="6">
        <f t="shared" si="25"/>
        <v>0</v>
      </c>
      <c r="K55" s="2"/>
      <c r="L55" s="7">
        <f t="shared" si="26"/>
        <v>-63.07</v>
      </c>
      <c r="M55" s="2"/>
      <c r="N55" s="6">
        <f t="shared" si="27"/>
        <v>-0.63070000000000004</v>
      </c>
      <c r="O55" s="11"/>
      <c r="P55" s="7">
        <v>1345.59</v>
      </c>
      <c r="Q55" s="2"/>
      <c r="R55" s="6">
        <f t="shared" si="28"/>
        <v>0</v>
      </c>
      <c r="S55" s="2"/>
      <c r="T55" s="7">
        <v>300</v>
      </c>
      <c r="U55" s="2"/>
      <c r="V55" s="6">
        <f t="shared" si="29"/>
        <v>0</v>
      </c>
      <c r="W55" s="2"/>
      <c r="X55" s="7">
        <f t="shared" si="30"/>
        <v>1045.5899999999999</v>
      </c>
      <c r="Y55" s="2"/>
      <c r="Z55" s="6">
        <f t="shared" si="31"/>
        <v>3.4852999999999996</v>
      </c>
    </row>
    <row r="56" spans="1:26" s="28" customFormat="1" outlineLevel="1" collapsed="1" x14ac:dyDescent="0.25">
      <c r="A56" s="27"/>
      <c r="B56" s="14" t="str">
        <f>CONCATENATE("     ","Telephone/Data Lines                              ")</f>
        <v xml:space="preserve">     Telephone/Data Lines                              </v>
      </c>
      <c r="C56" s="14"/>
      <c r="D56" s="1">
        <f>SUM(OSRRefD22_9x_0)</f>
        <v>421.85</v>
      </c>
      <c r="E56" s="1"/>
      <c r="F56" s="5">
        <f t="shared" si="24"/>
        <v>0</v>
      </c>
      <c r="G56" s="1"/>
      <c r="H56" s="1">
        <f>SUM(OSRRefH22_9x_0)</f>
        <v>400</v>
      </c>
      <c r="I56" s="1"/>
      <c r="J56" s="5">
        <f t="shared" si="25"/>
        <v>0</v>
      </c>
      <c r="K56" s="1"/>
      <c r="L56" s="1">
        <f t="shared" si="26"/>
        <v>21.850000000000023</v>
      </c>
      <c r="M56" s="1"/>
      <c r="N56" s="5">
        <f t="shared" si="27"/>
        <v>5.4625000000000055E-2</v>
      </c>
      <c r="O56" s="14"/>
      <c r="P56" s="1">
        <f>SUM(OSRRefP22_9x_0)</f>
        <v>1293.7</v>
      </c>
      <c r="Q56" s="1"/>
      <c r="R56" s="5">
        <f t="shared" si="28"/>
        <v>0</v>
      </c>
      <c r="S56" s="1"/>
      <c r="T56" s="1">
        <f>SUM(OSRRefT22_9x_0)</f>
        <v>1200</v>
      </c>
      <c r="U56" s="1"/>
      <c r="V56" s="5">
        <f t="shared" si="29"/>
        <v>0</v>
      </c>
      <c r="W56" s="1"/>
      <c r="X56" s="1">
        <f t="shared" si="30"/>
        <v>93.700000000000045</v>
      </c>
      <c r="Y56" s="1"/>
      <c r="Z56" s="5">
        <f t="shared" si="31"/>
        <v>7.8083333333333366E-2</v>
      </c>
    </row>
    <row r="57" spans="1:26" s="24" customFormat="1" hidden="1" outlineLevel="2" x14ac:dyDescent="0.25">
      <c r="A57" s="29"/>
      <c r="B57" s="11" t="str">
        <f>CONCATENATE("          ", "6309", " - ", "TELEPHONE")</f>
        <v xml:space="preserve">          6309 - TELEPHONE</v>
      </c>
      <c r="C57" s="11"/>
      <c r="D57" s="7">
        <v>421.85</v>
      </c>
      <c r="E57" s="2"/>
      <c r="F57" s="6">
        <f t="shared" si="24"/>
        <v>0</v>
      </c>
      <c r="G57" s="2"/>
      <c r="H57" s="7">
        <v>400</v>
      </c>
      <c r="I57" s="2"/>
      <c r="J57" s="6">
        <f t="shared" si="25"/>
        <v>0</v>
      </c>
      <c r="K57" s="2"/>
      <c r="L57" s="7">
        <f t="shared" si="26"/>
        <v>21.850000000000023</v>
      </c>
      <c r="M57" s="2"/>
      <c r="N57" s="6">
        <f t="shared" si="27"/>
        <v>5.4625000000000055E-2</v>
      </c>
      <c r="O57" s="11"/>
      <c r="P57" s="7">
        <v>1293.7</v>
      </c>
      <c r="Q57" s="2"/>
      <c r="R57" s="6">
        <f t="shared" si="28"/>
        <v>0</v>
      </c>
      <c r="S57" s="2"/>
      <c r="T57" s="7">
        <v>1200</v>
      </c>
      <c r="U57" s="2"/>
      <c r="V57" s="6">
        <f t="shared" si="29"/>
        <v>0</v>
      </c>
      <c r="W57" s="2"/>
      <c r="X57" s="7">
        <f t="shared" si="30"/>
        <v>93.700000000000045</v>
      </c>
      <c r="Y57" s="2"/>
      <c r="Z57" s="6">
        <f t="shared" si="31"/>
        <v>7.8083333333333366E-2</v>
      </c>
    </row>
    <row r="58" spans="1:26" s="28" customFormat="1" outlineLevel="1" collapsed="1" x14ac:dyDescent="0.25">
      <c r="A58" s="27"/>
      <c r="B58" s="14" t="str">
        <f>CONCATENATE("     ","Training                                          ")</f>
        <v xml:space="preserve">     Training                                          </v>
      </c>
      <c r="C58" s="14"/>
      <c r="D58" s="1">
        <f>SUM(OSRRefD22_10x_0)</f>
        <v>0</v>
      </c>
      <c r="E58" s="1"/>
      <c r="F58" s="5">
        <f t="shared" si="24"/>
        <v>0</v>
      </c>
      <c r="G58" s="1"/>
      <c r="H58" s="1">
        <f>SUM(OSRRefH22_10x_0)</f>
        <v>0</v>
      </c>
      <c r="I58" s="1"/>
      <c r="J58" s="5">
        <f t="shared" si="25"/>
        <v>0</v>
      </c>
      <c r="K58" s="1"/>
      <c r="L58" s="1">
        <f t="shared" si="26"/>
        <v>0</v>
      </c>
      <c r="M58" s="1"/>
      <c r="N58" s="5">
        <f t="shared" si="27"/>
        <v>0</v>
      </c>
      <c r="O58" s="14"/>
      <c r="P58" s="1">
        <f>SUM(OSRRefP22_10x_0)</f>
        <v>595</v>
      </c>
      <c r="Q58" s="1"/>
      <c r="R58" s="5">
        <f t="shared" si="28"/>
        <v>0</v>
      </c>
      <c r="S58" s="1"/>
      <c r="T58" s="1">
        <f>SUM(OSRRefT22_10x_0)</f>
        <v>0</v>
      </c>
      <c r="U58" s="1"/>
      <c r="V58" s="5">
        <f t="shared" si="29"/>
        <v>0</v>
      </c>
      <c r="W58" s="1"/>
      <c r="X58" s="1">
        <f t="shared" si="30"/>
        <v>595</v>
      </c>
      <c r="Y58" s="1"/>
      <c r="Z58" s="5">
        <f t="shared" si="31"/>
        <v>0</v>
      </c>
    </row>
    <row r="59" spans="1:26" s="24" customFormat="1" hidden="1" outlineLevel="2" x14ac:dyDescent="0.25">
      <c r="A59" s="29"/>
      <c r="B59" s="11" t="str">
        <f>CONCATENATE("          ", "6376", " - ", "TRAINING")</f>
        <v xml:space="preserve">          6376 - TRAINING</v>
      </c>
      <c r="C59" s="11"/>
      <c r="D59" s="7"/>
      <c r="E59" s="2"/>
      <c r="F59" s="6">
        <f t="shared" si="24"/>
        <v>0</v>
      </c>
      <c r="G59" s="2"/>
      <c r="H59" s="7"/>
      <c r="I59" s="2"/>
      <c r="J59" s="6">
        <f t="shared" si="25"/>
        <v>0</v>
      </c>
      <c r="K59" s="2"/>
      <c r="L59" s="7">
        <f t="shared" si="26"/>
        <v>0</v>
      </c>
      <c r="M59" s="2"/>
      <c r="N59" s="6">
        <f t="shared" si="27"/>
        <v>0</v>
      </c>
      <c r="O59" s="11"/>
      <c r="P59" s="7">
        <v>595</v>
      </c>
      <c r="Q59" s="2"/>
      <c r="R59" s="6">
        <f t="shared" si="28"/>
        <v>0</v>
      </c>
      <c r="S59" s="2"/>
      <c r="T59" s="7"/>
      <c r="U59" s="2"/>
      <c r="V59" s="6">
        <f t="shared" si="29"/>
        <v>0</v>
      </c>
      <c r="W59" s="2"/>
      <c r="X59" s="7">
        <f t="shared" si="30"/>
        <v>595</v>
      </c>
      <c r="Y59" s="2"/>
      <c r="Z59" s="6">
        <f t="shared" si="31"/>
        <v>0</v>
      </c>
    </row>
    <row r="60" spans="1:26" s="28" customFormat="1" outlineLevel="1" collapsed="1" x14ac:dyDescent="0.25">
      <c r="A60" s="27"/>
      <c r="B60" s="14" t="str">
        <f>CONCATENATE("     ","Travel                                            ")</f>
        <v xml:space="preserve">     Travel                                            </v>
      </c>
      <c r="C60" s="14"/>
      <c r="D60" s="1">
        <f>SUM(OSRRefD22_11x_0)</f>
        <v>13.3</v>
      </c>
      <c r="E60" s="1"/>
      <c r="F60" s="5">
        <f t="shared" si="24"/>
        <v>0</v>
      </c>
      <c r="G60" s="1"/>
      <c r="H60" s="1">
        <f>SUM(OSRRefH22_11x_0)</f>
        <v>0</v>
      </c>
      <c r="I60" s="1"/>
      <c r="J60" s="5">
        <f t="shared" si="25"/>
        <v>0</v>
      </c>
      <c r="K60" s="1"/>
      <c r="L60" s="1">
        <f t="shared" si="26"/>
        <v>13.3</v>
      </c>
      <c r="M60" s="1"/>
      <c r="N60" s="5">
        <f t="shared" si="27"/>
        <v>0</v>
      </c>
      <c r="O60" s="14"/>
      <c r="P60" s="1">
        <f>SUM(OSRRefP22_11x_0)</f>
        <v>30.4</v>
      </c>
      <c r="Q60" s="1"/>
      <c r="R60" s="5">
        <f t="shared" si="28"/>
        <v>0</v>
      </c>
      <c r="S60" s="1"/>
      <c r="T60" s="1">
        <f>SUM(OSRRefT22_11x_0)</f>
        <v>0</v>
      </c>
      <c r="U60" s="1"/>
      <c r="V60" s="5">
        <f t="shared" si="29"/>
        <v>0</v>
      </c>
      <c r="W60" s="1"/>
      <c r="X60" s="1">
        <f t="shared" si="30"/>
        <v>30.4</v>
      </c>
      <c r="Y60" s="1"/>
      <c r="Z60" s="5">
        <f t="shared" si="31"/>
        <v>0</v>
      </c>
    </row>
    <row r="61" spans="1:26" s="24" customFormat="1" hidden="1" outlineLevel="2" x14ac:dyDescent="0.25">
      <c r="A61" s="29"/>
      <c r="B61" s="11" t="str">
        <f>CONCATENATE("          ", "6294", " - ", "TRAVEL OPERATIONAL")</f>
        <v xml:space="preserve">          6294 - TRAVEL OPERATIONAL</v>
      </c>
      <c r="C61" s="11"/>
      <c r="D61" s="7">
        <v>13.3</v>
      </c>
      <c r="E61" s="2"/>
      <c r="F61" s="6">
        <f t="shared" si="24"/>
        <v>0</v>
      </c>
      <c r="G61" s="2"/>
      <c r="H61" s="7"/>
      <c r="I61" s="2"/>
      <c r="J61" s="6">
        <f t="shared" si="25"/>
        <v>0</v>
      </c>
      <c r="K61" s="2"/>
      <c r="L61" s="7">
        <f t="shared" si="26"/>
        <v>13.3</v>
      </c>
      <c r="M61" s="2"/>
      <c r="N61" s="6">
        <f t="shared" si="27"/>
        <v>0</v>
      </c>
      <c r="O61" s="11"/>
      <c r="P61" s="7">
        <v>30.4</v>
      </c>
      <c r="Q61" s="2"/>
      <c r="R61" s="6">
        <f t="shared" si="28"/>
        <v>0</v>
      </c>
      <c r="S61" s="2"/>
      <c r="T61" s="7"/>
      <c r="U61" s="2"/>
      <c r="V61" s="6">
        <f t="shared" si="29"/>
        <v>0</v>
      </c>
      <c r="W61" s="2"/>
      <c r="X61" s="7">
        <f t="shared" si="30"/>
        <v>30.4</v>
      </c>
      <c r="Y61" s="2"/>
      <c r="Z61" s="6">
        <f t="shared" si="31"/>
        <v>0</v>
      </c>
    </row>
    <row r="62" spans="1:26" s="58" customFormat="1" x14ac:dyDescent="0.25">
      <c r="A62" s="36"/>
      <c r="B62" s="36"/>
      <c r="C62" s="36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6" t="s">
        <v>293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5" t="s">
        <v>277</v>
      </c>
      <c r="C65" s="25"/>
      <c r="D65" s="21">
        <f>+D16-D18+D63</f>
        <v>-37567.949999999997</v>
      </c>
      <c r="E65" s="13"/>
      <c r="F65" s="20">
        <f>IF(D$12=0,0,D65/D$12)</f>
        <v>0</v>
      </c>
      <c r="G65" s="13"/>
      <c r="H65" s="21">
        <f>+H16-H18+H63</f>
        <v>-37946.109144307673</v>
      </c>
      <c r="I65" s="13"/>
      <c r="J65" s="20">
        <f>IF(H$12=0,0,H65/H$12)</f>
        <v>0</v>
      </c>
      <c r="K65" s="16"/>
      <c r="L65" s="21">
        <f>+D65-H65</f>
        <v>378.15914430767589</v>
      </c>
      <c r="M65" s="16"/>
      <c r="N65" s="20">
        <f>IF(H65=0,0,L65/H65)</f>
        <v>-9.9656895749060965E-3</v>
      </c>
      <c r="O65" s="26"/>
      <c r="P65" s="21">
        <f>+P16-P18+P63</f>
        <v>-119859.4</v>
      </c>
      <c r="Q65" s="13"/>
      <c r="R65" s="20">
        <f>IF(P$12=0,0,P65/P$12)</f>
        <v>0</v>
      </c>
      <c r="S65" s="13"/>
      <c r="T65" s="21">
        <f>+T16-T18+T63</f>
        <v>-115585.44671899991</v>
      </c>
      <c r="U65" s="13"/>
      <c r="V65" s="20">
        <f>IF(T$12=0,0,T65/T$12)</f>
        <v>0</v>
      </c>
      <c r="W65" s="16"/>
      <c r="X65" s="21">
        <f>+P65-T65</f>
        <v>-4273.9532810000819</v>
      </c>
      <c r="Y65" s="16"/>
      <c r="Z65" s="20">
        <f>IF(T65=0,0,X65/T65)</f>
        <v>3.6976569302799002E-2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2"/>
      <c r="B67" s="10" t="s">
        <v>128</v>
      </c>
      <c r="C67" s="10"/>
      <c r="D67" s="4"/>
      <c r="E67" s="4"/>
      <c r="F67" s="12">
        <f>IF(D$12=0,0,D67/D$12)</f>
        <v>0</v>
      </c>
      <c r="G67" s="4"/>
      <c r="H67" s="4"/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/>
      <c r="Q67" s="4"/>
      <c r="R67" s="12">
        <f>IF(P$12=0,0,P67/P$12)</f>
        <v>0</v>
      </c>
      <c r="S67" s="4"/>
      <c r="T67" s="4"/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5" t="s">
        <v>126</v>
      </c>
      <c r="C69" s="25"/>
      <c r="D69" s="33">
        <f>+D65-D67</f>
        <v>-37567.949999999997</v>
      </c>
      <c r="E69" s="13"/>
      <c r="F69" s="31">
        <f>IF(D$12=0,0,D69/D$12)</f>
        <v>0</v>
      </c>
      <c r="G69" s="13"/>
      <c r="H69" s="33">
        <f>+H65-H67</f>
        <v>-37946.109144307673</v>
      </c>
      <c r="I69" s="13"/>
      <c r="J69" s="31">
        <f>IF(H$12=0,0,H69/H$12)</f>
        <v>0</v>
      </c>
      <c r="K69" s="16"/>
      <c r="L69" s="33">
        <f>D69-H69</f>
        <v>378.15914430767589</v>
      </c>
      <c r="M69" s="16"/>
      <c r="N69" s="31">
        <f>IF(H69=0,0,L69/H69)</f>
        <v>-9.9656895749060965E-3</v>
      </c>
      <c r="O69" s="26"/>
      <c r="P69" s="33">
        <f>+P65-P67</f>
        <v>-119859.4</v>
      </c>
      <c r="Q69" s="13"/>
      <c r="R69" s="31">
        <f>IF(P$12=0,0,P69/P$12)</f>
        <v>0</v>
      </c>
      <c r="S69" s="13"/>
      <c r="T69" s="33">
        <f>+T65-T67</f>
        <v>-115585.44671899991</v>
      </c>
      <c r="U69" s="13"/>
      <c r="V69" s="31">
        <f>IF(T$12=0,0,T69/T$12)</f>
        <v>0</v>
      </c>
      <c r="W69" s="16"/>
      <c r="X69" s="33">
        <f>P69-T69</f>
        <v>-4273.9532810000819</v>
      </c>
      <c r="Y69" s="16"/>
      <c r="Z69" s="31">
        <f>IF(T69=0,0,X69/T69)</f>
        <v>3.6976569302799002E-2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5" t="s">
        <v>294</v>
      </c>
      <c r="C72" s="25"/>
      <c r="D72" s="35">
        <f>SUM(D69:D71)</f>
        <v>-37567.949999999997</v>
      </c>
      <c r="E72" s="13"/>
      <c r="F72" s="34">
        <f>IF(D$12=0,0,D72/D$12)</f>
        <v>0</v>
      </c>
      <c r="G72" s="13"/>
      <c r="H72" s="35">
        <f>SUM(H69:H71)</f>
        <v>-37946.109144307673</v>
      </c>
      <c r="I72" s="13"/>
      <c r="J72" s="34">
        <f>IF(H$12=0,0,H72/H$12)</f>
        <v>0</v>
      </c>
      <c r="K72" s="16"/>
      <c r="L72" s="35">
        <f>+D72-H72</f>
        <v>378.15914430767589</v>
      </c>
      <c r="M72" s="16"/>
      <c r="N72" s="34">
        <f>IF(H72=0,0,L72/H72)</f>
        <v>-9.9656895749060965E-3</v>
      </c>
      <c r="O72" s="26"/>
      <c r="P72" s="35">
        <f>SUM(P69:P71)</f>
        <v>-119859.4</v>
      </c>
      <c r="Q72" s="13"/>
      <c r="R72" s="34">
        <f>IF(P$12=0,0,P72/P$12)</f>
        <v>0</v>
      </c>
      <c r="S72" s="13"/>
      <c r="T72" s="35">
        <f>SUM(T69:T71)</f>
        <v>-115585.44671899991</v>
      </c>
      <c r="U72" s="13"/>
      <c r="V72" s="34">
        <f>IF(T$12=0,0,T72/T$12)</f>
        <v>0</v>
      </c>
      <c r="W72" s="16"/>
      <c r="X72" s="35">
        <f>+P72-T72</f>
        <v>-4273.9532810000819</v>
      </c>
      <c r="Y72" s="16"/>
      <c r="Z72" s="34">
        <f>IF(T72=0,0,X72/T72)</f>
        <v>3.6976569302799002E-2</v>
      </c>
    </row>
    <row r="73" spans="1:26" ht="15.75" thickTop="1" x14ac:dyDescent="0.25">
      <c r="A73" s="9"/>
      <c r="C73" s="9"/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61">
        <v>44481.978956793981</v>
      </c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A75" s="9"/>
      <c r="B75" s="56" t="s">
        <v>56</v>
      </c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25">
      <c r="A76" s="9"/>
      <c r="B76" s="54"/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","203", " - ", "Human Resources")</f>
        <v>Department 203 - Human Resources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108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295</v>
      </c>
      <c r="C18" s="10"/>
      <c r="D18" s="22">
        <f>SUM(OSRRefD22x_0)</f>
        <v>47199.599999999991</v>
      </c>
      <c r="E18" s="22"/>
      <c r="F18" s="32">
        <f t="shared" ref="F18:F29" si="0">IF(D$12=0,0,D18/D$12)</f>
        <v>0</v>
      </c>
      <c r="G18" s="22"/>
      <c r="H18" s="22">
        <f>SUM(OSRRefH22x_0)</f>
        <v>46349.26516968615</v>
      </c>
      <c r="I18" s="22"/>
      <c r="J18" s="32">
        <f t="shared" ref="J18:J29" si="1">IF(H$12=0,0,H18/H$12)</f>
        <v>0</v>
      </c>
      <c r="K18" s="4"/>
      <c r="L18" s="22">
        <f t="shared" ref="L18:L29" si="2">+D18-H18</f>
        <v>850.33483031384094</v>
      </c>
      <c r="M18" s="4"/>
      <c r="N18" s="32">
        <f t="shared" ref="N18:N29" si="3">IF(H18=0,0,L18/H18)</f>
        <v>1.8346241891877633E-2</v>
      </c>
      <c r="O18" s="10"/>
      <c r="P18" s="22">
        <f>SUM(OSRRefP22x_0)</f>
        <v>153727.94999999995</v>
      </c>
      <c r="Q18" s="22"/>
      <c r="R18" s="32">
        <f t="shared" ref="R18:R29" si="4">IF(P$12=0,0,P18/P$12)</f>
        <v>0</v>
      </c>
      <c r="S18" s="22"/>
      <c r="T18" s="22">
        <f>SUM(OSRRefT22x_0)</f>
        <v>146941.36180148</v>
      </c>
      <c r="U18" s="22"/>
      <c r="V18" s="32">
        <f t="shared" ref="V18:V29" si="5">IF(T$12=0,0,T18/T$12)</f>
        <v>0</v>
      </c>
      <c r="W18" s="4"/>
      <c r="X18" s="22">
        <f t="shared" ref="X18:X29" si="6">+P18-T18</f>
        <v>6786.5881985199521</v>
      </c>
      <c r="Y18" s="4"/>
      <c r="Z18" s="32">
        <f t="shared" ref="Z18:Z29" si="7">IF(T18=0,0,X18/T18)</f>
        <v>4.6185690096493967E-2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13275.89</v>
      </c>
      <c r="E19" s="1"/>
      <c r="F19" s="5">
        <f t="shared" si="0"/>
        <v>0</v>
      </c>
      <c r="G19" s="1"/>
      <c r="H19" s="1">
        <f>SUM(OSRRefH22_0x_0)</f>
        <v>11218.47940968615</v>
      </c>
      <c r="I19" s="1"/>
      <c r="J19" s="5">
        <f t="shared" si="1"/>
        <v>0</v>
      </c>
      <c r="K19" s="1"/>
      <c r="L19" s="1">
        <f t="shared" si="2"/>
        <v>2057.4105903138498</v>
      </c>
      <c r="M19" s="1"/>
      <c r="N19" s="5">
        <f t="shared" si="3"/>
        <v>0.18339478241030246</v>
      </c>
      <c r="O19" s="14"/>
      <c r="P19" s="1">
        <f>SUM(OSRRefP22_0x_0)</f>
        <v>40434.159999999996</v>
      </c>
      <c r="Q19" s="1"/>
      <c r="R19" s="5">
        <f t="shared" si="4"/>
        <v>0</v>
      </c>
      <c r="S19" s="1"/>
      <c r="T19" s="1">
        <f>SUM(OSRRefT22_0x_0)</f>
        <v>35686.558081479998</v>
      </c>
      <c r="U19" s="1"/>
      <c r="V19" s="5">
        <f t="shared" si="5"/>
        <v>0</v>
      </c>
      <c r="W19" s="1"/>
      <c r="X19" s="1">
        <f t="shared" si="6"/>
        <v>4747.6019185199984</v>
      </c>
      <c r="Y19" s="1"/>
      <c r="Z19" s="5">
        <f t="shared" si="7"/>
        <v>0.13303613948087159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2089.84</v>
      </c>
      <c r="E20" s="2"/>
      <c r="F20" s="6">
        <f t="shared" si="0"/>
        <v>0</v>
      </c>
      <c r="G20" s="2"/>
      <c r="H20" s="7">
        <v>1560.2483342400001</v>
      </c>
      <c r="I20" s="2"/>
      <c r="J20" s="6">
        <f t="shared" si="1"/>
        <v>0</v>
      </c>
      <c r="K20" s="2"/>
      <c r="L20" s="7">
        <f t="shared" si="2"/>
        <v>529.59166576000007</v>
      </c>
      <c r="M20" s="2"/>
      <c r="N20" s="6">
        <f t="shared" si="3"/>
        <v>0.33942780398350186</v>
      </c>
      <c r="O20" s="11"/>
      <c r="P20" s="7">
        <v>6273.42</v>
      </c>
      <c r="Q20" s="2"/>
      <c r="R20" s="6">
        <f t="shared" si="4"/>
        <v>0</v>
      </c>
      <c r="S20" s="2"/>
      <c r="T20" s="7">
        <v>5070.8070862799996</v>
      </c>
      <c r="U20" s="2"/>
      <c r="V20" s="6">
        <f t="shared" si="5"/>
        <v>0</v>
      </c>
      <c r="W20" s="2"/>
      <c r="X20" s="7">
        <f t="shared" si="6"/>
        <v>1202.6129137200005</v>
      </c>
      <c r="Y20" s="2"/>
      <c r="Z20" s="6">
        <f t="shared" si="7"/>
        <v>0.23716400432071075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350.94</v>
      </c>
      <c r="E21" s="2"/>
      <c r="F21" s="6">
        <f t="shared" si="0"/>
        <v>0</v>
      </c>
      <c r="G21" s="2"/>
      <c r="H21" s="7">
        <v>81.800964800000003</v>
      </c>
      <c r="I21" s="2"/>
      <c r="J21" s="6">
        <f t="shared" si="1"/>
        <v>0</v>
      </c>
      <c r="K21" s="2"/>
      <c r="L21" s="7">
        <f t="shared" si="2"/>
        <v>269.13903519999997</v>
      </c>
      <c r="M21" s="2"/>
      <c r="N21" s="6">
        <f t="shared" si="3"/>
        <v>3.2901694479769747</v>
      </c>
      <c r="O21" s="11"/>
      <c r="P21" s="7">
        <v>1052.7</v>
      </c>
      <c r="Q21" s="2"/>
      <c r="R21" s="6">
        <f t="shared" si="4"/>
        <v>0</v>
      </c>
      <c r="S21" s="2"/>
      <c r="T21" s="7">
        <v>265.85313559999997</v>
      </c>
      <c r="U21" s="2"/>
      <c r="V21" s="6">
        <f t="shared" si="5"/>
        <v>0</v>
      </c>
      <c r="W21" s="2"/>
      <c r="X21" s="7">
        <f t="shared" si="6"/>
        <v>786.84686440000007</v>
      </c>
      <c r="Y21" s="2"/>
      <c r="Z21" s="6">
        <f t="shared" si="7"/>
        <v>2.959705036482557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6082.69</v>
      </c>
      <c r="E22" s="2"/>
      <c r="F22" s="6">
        <f t="shared" si="0"/>
        <v>0</v>
      </c>
      <c r="G22" s="2"/>
      <c r="H22" s="7">
        <v>6238.8461538461497</v>
      </c>
      <c r="I22" s="2"/>
      <c r="J22" s="6">
        <f t="shared" si="1"/>
        <v>0</v>
      </c>
      <c r="K22" s="2"/>
      <c r="L22" s="7">
        <f t="shared" si="2"/>
        <v>-156.15615384615012</v>
      </c>
      <c r="M22" s="2"/>
      <c r="N22" s="6">
        <f t="shared" si="3"/>
        <v>-2.5029652919054964E-2</v>
      </c>
      <c r="O22" s="11"/>
      <c r="P22" s="7">
        <v>18180.57</v>
      </c>
      <c r="Q22" s="2"/>
      <c r="R22" s="6">
        <f t="shared" si="4"/>
        <v>0</v>
      </c>
      <c r="S22" s="2"/>
      <c r="T22" s="7">
        <v>19782</v>
      </c>
      <c r="U22" s="2"/>
      <c r="V22" s="6">
        <f t="shared" si="5"/>
        <v>0</v>
      </c>
      <c r="W22" s="2"/>
      <c r="X22" s="7">
        <f t="shared" si="6"/>
        <v>-1601.4300000000003</v>
      </c>
      <c r="Y22" s="2"/>
      <c r="Z22" s="6">
        <f t="shared" si="7"/>
        <v>-8.0953897482559919E-2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70.73</v>
      </c>
      <c r="E23" s="2"/>
      <c r="F23" s="6">
        <f t="shared" si="0"/>
        <v>0</v>
      </c>
      <c r="G23" s="2"/>
      <c r="H23" s="7">
        <v>55.413556800000002</v>
      </c>
      <c r="I23" s="2"/>
      <c r="J23" s="6">
        <f t="shared" si="1"/>
        <v>0</v>
      </c>
      <c r="K23" s="2"/>
      <c r="L23" s="7">
        <f t="shared" si="2"/>
        <v>15.316443200000002</v>
      </c>
      <c r="M23" s="2"/>
      <c r="N23" s="6">
        <f t="shared" si="3"/>
        <v>0.27640245608634167</v>
      </c>
      <c r="O23" s="11"/>
      <c r="P23" s="7">
        <v>212.17</v>
      </c>
      <c r="Q23" s="2"/>
      <c r="R23" s="6">
        <f t="shared" si="4"/>
        <v>0</v>
      </c>
      <c r="S23" s="2"/>
      <c r="T23" s="7">
        <v>180.09405960000001</v>
      </c>
      <c r="U23" s="2"/>
      <c r="V23" s="6">
        <f t="shared" si="5"/>
        <v>0</v>
      </c>
      <c r="W23" s="2"/>
      <c r="X23" s="7">
        <f t="shared" si="6"/>
        <v>32.075940399999979</v>
      </c>
      <c r="Y23" s="2"/>
      <c r="Z23" s="6">
        <f t="shared" si="7"/>
        <v>0.17810659869205356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1238.02</v>
      </c>
      <c r="E24" s="2"/>
      <c r="F24" s="6">
        <f t="shared" si="0"/>
        <v>0</v>
      </c>
      <c r="G24" s="2"/>
      <c r="H24" s="7">
        <v>885.8</v>
      </c>
      <c r="I24" s="2"/>
      <c r="J24" s="6">
        <f t="shared" si="1"/>
        <v>0</v>
      </c>
      <c r="K24" s="2"/>
      <c r="L24" s="7">
        <f t="shared" si="2"/>
        <v>352.22</v>
      </c>
      <c r="M24" s="2"/>
      <c r="N24" s="6">
        <f t="shared" si="3"/>
        <v>0.3976292616843532</v>
      </c>
      <c r="O24" s="11"/>
      <c r="P24" s="7">
        <v>3714.06</v>
      </c>
      <c r="Q24" s="2"/>
      <c r="R24" s="6">
        <f t="shared" si="4"/>
        <v>0</v>
      </c>
      <c r="S24" s="2"/>
      <c r="T24" s="7">
        <v>2878.85</v>
      </c>
      <c r="U24" s="2"/>
      <c r="V24" s="6">
        <f t="shared" si="5"/>
        <v>0</v>
      </c>
      <c r="W24" s="2"/>
      <c r="X24" s="7">
        <f t="shared" si="6"/>
        <v>835.21</v>
      </c>
      <c r="Y24" s="2"/>
      <c r="Z24" s="6">
        <f t="shared" si="7"/>
        <v>0.29011931847786443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417</v>
      </c>
      <c r="I25" s="2"/>
      <c r="J25" s="6">
        <f t="shared" si="1"/>
        <v>0</v>
      </c>
      <c r="K25" s="2"/>
      <c r="L25" s="7">
        <f t="shared" si="2"/>
        <v>-417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1251</v>
      </c>
      <c r="U25" s="2"/>
      <c r="V25" s="6">
        <f t="shared" si="5"/>
        <v>0</v>
      </c>
      <c r="W25" s="2"/>
      <c r="X25" s="7">
        <f t="shared" si="6"/>
        <v>-1251</v>
      </c>
      <c r="Y25" s="2"/>
      <c r="Z25" s="6">
        <f t="shared" si="7"/>
        <v>-1</v>
      </c>
    </row>
    <row r="26" spans="1:26" s="24" customFormat="1" hidden="1" outlineLevel="2" x14ac:dyDescent="0.25">
      <c r="A26" s="29"/>
      <c r="B26" s="11" t="str">
        <f>CONCATENATE("          ", "6117", " - ", "RETIREMENT STAFF HOURLY")</f>
        <v xml:space="preserve">          6117 - RETIREMENT STAFF HOURLY</v>
      </c>
      <c r="C26" s="11"/>
      <c r="D26" s="7">
        <v>307.75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307.75</v>
      </c>
      <c r="M26" s="2"/>
      <c r="N26" s="6">
        <f t="shared" si="3"/>
        <v>0</v>
      </c>
      <c r="O26" s="11"/>
      <c r="P26" s="7">
        <v>1850.43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1850.43</v>
      </c>
      <c r="Y26" s="2"/>
      <c r="Z26" s="6">
        <f t="shared" si="7"/>
        <v>0</v>
      </c>
    </row>
    <row r="27" spans="1:26" s="24" customFormat="1" hidden="1" outlineLevel="2" x14ac:dyDescent="0.25">
      <c r="A27" s="29"/>
      <c r="B27" s="11" t="str">
        <f>CONCATENATE("          ", "6118", " - ", "VACATION")</f>
        <v xml:space="preserve">          6118 - VACATION</v>
      </c>
      <c r="C27" s="11"/>
      <c r="D27" s="7">
        <v>1769.48</v>
      </c>
      <c r="E27" s="2"/>
      <c r="F27" s="6">
        <f t="shared" si="0"/>
        <v>0</v>
      </c>
      <c r="G27" s="2"/>
      <c r="H27" s="7">
        <v>731.62224000000003</v>
      </c>
      <c r="I27" s="2"/>
      <c r="J27" s="6">
        <f t="shared" si="1"/>
        <v>0</v>
      </c>
      <c r="K27" s="2"/>
      <c r="L27" s="7">
        <f t="shared" si="2"/>
        <v>1037.8577599999999</v>
      </c>
      <c r="M27" s="2"/>
      <c r="N27" s="6">
        <f t="shared" si="3"/>
        <v>1.4185705453677842</v>
      </c>
      <c r="O27" s="11"/>
      <c r="P27" s="7">
        <v>5308.44</v>
      </c>
      <c r="Q27" s="2"/>
      <c r="R27" s="6">
        <f t="shared" si="4"/>
        <v>0</v>
      </c>
      <c r="S27" s="2"/>
      <c r="T27" s="7">
        <v>2377.7722800000001</v>
      </c>
      <c r="U27" s="2"/>
      <c r="V27" s="6">
        <f t="shared" si="5"/>
        <v>0</v>
      </c>
      <c r="W27" s="2"/>
      <c r="X27" s="7">
        <f t="shared" si="6"/>
        <v>2930.6677199999995</v>
      </c>
      <c r="Y27" s="2"/>
      <c r="Z27" s="6">
        <f t="shared" si="7"/>
        <v>1.2325266572625699</v>
      </c>
    </row>
    <row r="28" spans="1:26" s="24" customFormat="1" hidden="1" outlineLevel="2" x14ac:dyDescent="0.25">
      <c r="A28" s="29"/>
      <c r="B28" s="11" t="str">
        <f>CONCATENATE("          ", "6119", " - ", "SICK LEAVE")</f>
        <v xml:space="preserve">          6119 - SICK LEAVE</v>
      </c>
      <c r="C28" s="11"/>
      <c r="D28" s="7">
        <v>1161.08</v>
      </c>
      <c r="E28" s="2"/>
      <c r="F28" s="6">
        <f t="shared" si="0"/>
        <v>0</v>
      </c>
      <c r="G28" s="2"/>
      <c r="H28" s="7">
        <v>547.74815999999998</v>
      </c>
      <c r="I28" s="2"/>
      <c r="J28" s="6">
        <f t="shared" si="1"/>
        <v>0</v>
      </c>
      <c r="K28" s="2"/>
      <c r="L28" s="7">
        <f t="shared" si="2"/>
        <v>613.33183999999994</v>
      </c>
      <c r="M28" s="2"/>
      <c r="N28" s="6">
        <f t="shared" si="3"/>
        <v>1.1197332730428524</v>
      </c>
      <c r="O28" s="11"/>
      <c r="P28" s="7">
        <v>3483.24</v>
      </c>
      <c r="Q28" s="2"/>
      <c r="R28" s="6">
        <f t="shared" si="4"/>
        <v>0</v>
      </c>
      <c r="S28" s="2"/>
      <c r="T28" s="7">
        <v>1780.1815200000001</v>
      </c>
      <c r="U28" s="2"/>
      <c r="V28" s="6">
        <f t="shared" si="5"/>
        <v>0</v>
      </c>
      <c r="W28" s="2"/>
      <c r="X28" s="7">
        <f t="shared" si="6"/>
        <v>1703.0584799999997</v>
      </c>
      <c r="Y28" s="2"/>
      <c r="Z28" s="6">
        <f t="shared" si="7"/>
        <v>0.95667686742417124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7">
        <v>205.36</v>
      </c>
      <c r="E29" s="2"/>
      <c r="F29" s="6">
        <f t="shared" si="0"/>
        <v>0</v>
      </c>
      <c r="G29" s="2"/>
      <c r="H29" s="7">
        <v>700</v>
      </c>
      <c r="I29" s="2"/>
      <c r="J29" s="6">
        <f t="shared" si="1"/>
        <v>0</v>
      </c>
      <c r="K29" s="2"/>
      <c r="L29" s="7">
        <f t="shared" si="2"/>
        <v>-494.64</v>
      </c>
      <c r="M29" s="2"/>
      <c r="N29" s="6">
        <f t="shared" si="3"/>
        <v>-0.70662857142857138</v>
      </c>
      <c r="O29" s="11"/>
      <c r="P29" s="7">
        <v>359.13</v>
      </c>
      <c r="Q29" s="2"/>
      <c r="R29" s="6">
        <f t="shared" si="4"/>
        <v>0</v>
      </c>
      <c r="S29" s="2"/>
      <c r="T29" s="7">
        <v>2100</v>
      </c>
      <c r="U29" s="2"/>
      <c r="V29" s="6">
        <f t="shared" si="5"/>
        <v>0</v>
      </c>
      <c r="W29" s="2"/>
      <c r="X29" s="7">
        <f t="shared" si="6"/>
        <v>-1740.87</v>
      </c>
      <c r="Y29" s="2"/>
      <c r="Z29" s="6">
        <f t="shared" si="7"/>
        <v>-0.82898571428571421</v>
      </c>
    </row>
    <row r="30" spans="1:26" s="28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26130.02</v>
      </c>
      <c r="E30" s="1"/>
      <c r="F30" s="5">
        <f t="shared" ref="F30:F40" si="8">IF(D$12=0,0,D30/D$12)</f>
        <v>0</v>
      </c>
      <c r="G30" s="1"/>
      <c r="H30" s="1">
        <f>SUM(OSRRefH22_1x_0)</f>
        <v>23449.785759999999</v>
      </c>
      <c r="I30" s="1"/>
      <c r="J30" s="5">
        <f t="shared" ref="J30:J40" si="9">IF(H$12=0,0,H30/H$12)</f>
        <v>0</v>
      </c>
      <c r="K30" s="1"/>
      <c r="L30" s="1">
        <f t="shared" ref="L30:L40" si="10">+D30-H30</f>
        <v>2680.2342400000016</v>
      </c>
      <c r="M30" s="1"/>
      <c r="N30" s="5">
        <f t="shared" ref="N30:N40" si="11">IF(H30=0,0,L30/H30)</f>
        <v>0.11429674741727797</v>
      </c>
      <c r="O30" s="14"/>
      <c r="P30" s="1">
        <f>SUM(OSRRefP22_1x_0)</f>
        <v>84655.260000000009</v>
      </c>
      <c r="Q30" s="1"/>
      <c r="R30" s="5">
        <f t="shared" ref="R30:R40" si="12">IF(P$12=0,0,P30/P$12)</f>
        <v>0</v>
      </c>
      <c r="S30" s="1"/>
      <c r="T30" s="1">
        <f>SUM(OSRRefT22_1x_0)</f>
        <v>76211.803719999996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8443.4562800000131</v>
      </c>
      <c r="Y30" s="1"/>
      <c r="Z30" s="5">
        <f t="shared" ref="Z30:Z40" si="15">IF(T30=0,0,X30/T30)</f>
        <v>0.1107893510960721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>
        <v>10240.99</v>
      </c>
      <c r="E31" s="2"/>
      <c r="F31" s="6">
        <f t="shared" si="8"/>
        <v>0</v>
      </c>
      <c r="G31" s="2"/>
      <c r="H31" s="7">
        <v>9785</v>
      </c>
      <c r="I31" s="2"/>
      <c r="J31" s="6">
        <f t="shared" si="9"/>
        <v>0</v>
      </c>
      <c r="K31" s="2"/>
      <c r="L31" s="7">
        <f t="shared" si="10"/>
        <v>455.98999999999978</v>
      </c>
      <c r="M31" s="2"/>
      <c r="N31" s="6">
        <f t="shared" si="11"/>
        <v>4.6600919775166047E-2</v>
      </c>
      <c r="O31" s="11"/>
      <c r="P31" s="7">
        <v>34705.870000000003</v>
      </c>
      <c r="Q31" s="2"/>
      <c r="R31" s="6">
        <f t="shared" si="12"/>
        <v>0</v>
      </c>
      <c r="S31" s="2"/>
      <c r="T31" s="7">
        <v>31801.25</v>
      </c>
      <c r="U31" s="2"/>
      <c r="V31" s="6">
        <f t="shared" si="13"/>
        <v>0</v>
      </c>
      <c r="W31" s="2"/>
      <c r="X31" s="7">
        <f t="shared" si="14"/>
        <v>2904.6200000000026</v>
      </c>
      <c r="Y31" s="2"/>
      <c r="Z31" s="6">
        <f t="shared" si="15"/>
        <v>9.1336661294760507E-2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>
        <v>13719.78</v>
      </c>
      <c r="E34" s="2"/>
      <c r="F34" s="6">
        <f t="shared" si="8"/>
        <v>0</v>
      </c>
      <c r="G34" s="2"/>
      <c r="H34" s="7">
        <v>9784.7857600000007</v>
      </c>
      <c r="I34" s="2"/>
      <c r="J34" s="6">
        <f t="shared" si="9"/>
        <v>0</v>
      </c>
      <c r="K34" s="2"/>
      <c r="L34" s="7">
        <f t="shared" si="10"/>
        <v>3934.99424</v>
      </c>
      <c r="M34" s="2"/>
      <c r="N34" s="6">
        <f t="shared" si="11"/>
        <v>0.40215435846190667</v>
      </c>
      <c r="O34" s="11"/>
      <c r="P34" s="7">
        <v>41216.89</v>
      </c>
      <c r="Q34" s="2"/>
      <c r="R34" s="6">
        <f t="shared" si="12"/>
        <v>0</v>
      </c>
      <c r="S34" s="2"/>
      <c r="T34" s="7">
        <v>31800.55372</v>
      </c>
      <c r="U34" s="2"/>
      <c r="V34" s="6">
        <f t="shared" si="13"/>
        <v>0</v>
      </c>
      <c r="W34" s="2"/>
      <c r="X34" s="7">
        <f t="shared" si="14"/>
        <v>9416.3362799999995</v>
      </c>
      <c r="Y34" s="2"/>
      <c r="Z34" s="6">
        <f t="shared" si="15"/>
        <v>0.29610604780374872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>
        <v>1613.25</v>
      </c>
      <c r="E35" s="2"/>
      <c r="F35" s="6">
        <f t="shared" si="8"/>
        <v>0</v>
      </c>
      <c r="G35" s="2"/>
      <c r="H35" s="7">
        <v>3880</v>
      </c>
      <c r="I35" s="2"/>
      <c r="J35" s="6">
        <f t="shared" si="9"/>
        <v>0</v>
      </c>
      <c r="K35" s="2"/>
      <c r="L35" s="7">
        <f t="shared" si="10"/>
        <v>-2266.75</v>
      </c>
      <c r="M35" s="2"/>
      <c r="N35" s="6">
        <f t="shared" si="11"/>
        <v>-0.58421391752577323</v>
      </c>
      <c r="O35" s="11"/>
      <c r="P35" s="7">
        <v>4614.5</v>
      </c>
      <c r="Q35" s="2"/>
      <c r="R35" s="6">
        <f t="shared" si="12"/>
        <v>0</v>
      </c>
      <c r="S35" s="2"/>
      <c r="T35" s="7">
        <v>12610</v>
      </c>
      <c r="U35" s="2"/>
      <c r="V35" s="6">
        <f t="shared" si="13"/>
        <v>0</v>
      </c>
      <c r="W35" s="2"/>
      <c r="X35" s="7">
        <f t="shared" si="14"/>
        <v>-7995.5</v>
      </c>
      <c r="Y35" s="2"/>
      <c r="Z35" s="6">
        <f t="shared" si="15"/>
        <v>-0.6340602696272799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7">
        <v>556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556</v>
      </c>
      <c r="M37" s="2"/>
      <c r="N37" s="6">
        <f t="shared" si="11"/>
        <v>0</v>
      </c>
      <c r="O37" s="11"/>
      <c r="P37" s="7">
        <v>4118</v>
      </c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4118</v>
      </c>
      <c r="Y37" s="2"/>
      <c r="Z37" s="6">
        <f t="shared" si="15"/>
        <v>0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9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9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8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56" si="16">IF(D$12=0,0,D41/D$12)</f>
        <v>0</v>
      </c>
      <c r="G41" s="1"/>
      <c r="H41" s="1">
        <f>SUM(OSRRefH22_2x_0)</f>
        <v>150</v>
      </c>
      <c r="I41" s="1"/>
      <c r="J41" s="5">
        <f t="shared" ref="J41:J56" si="17">IF(H$12=0,0,H41/H$12)</f>
        <v>0</v>
      </c>
      <c r="K41" s="1"/>
      <c r="L41" s="1">
        <f t="shared" ref="L41:L56" si="18">+D41-H41</f>
        <v>-150</v>
      </c>
      <c r="M41" s="1"/>
      <c r="N41" s="5">
        <f t="shared" ref="N41:N56" si="19">IF(H41=0,0,L41/H41)</f>
        <v>-1</v>
      </c>
      <c r="O41" s="14"/>
      <c r="P41" s="1">
        <f>SUM(OSRRefP22_2x_0)</f>
        <v>0</v>
      </c>
      <c r="Q41" s="1"/>
      <c r="R41" s="5">
        <f t="shared" ref="R41:R56" si="20">IF(P$12=0,0,P41/P$12)</f>
        <v>0</v>
      </c>
      <c r="S41" s="1"/>
      <c r="T41" s="1">
        <f>SUM(OSRRefT22_2x_0)</f>
        <v>450</v>
      </c>
      <c r="U41" s="1"/>
      <c r="V41" s="5">
        <f t="shared" ref="V41:V56" si="21">IF(T$12=0,0,T41/T$12)</f>
        <v>0</v>
      </c>
      <c r="W41" s="1"/>
      <c r="X41" s="1">
        <f t="shared" ref="X41:X56" si="22">+P41-T41</f>
        <v>-450</v>
      </c>
      <c r="Y41" s="1"/>
      <c r="Z41" s="5">
        <f t="shared" ref="Z41:Z56" si="23">IF(T41=0,0,X41/T41)</f>
        <v>-1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16"/>
        <v>0</v>
      </c>
      <c r="G42" s="2"/>
      <c r="H42" s="7">
        <v>150</v>
      </c>
      <c r="I42" s="2"/>
      <c r="J42" s="6">
        <f t="shared" si="17"/>
        <v>0</v>
      </c>
      <c r="K42" s="2"/>
      <c r="L42" s="7">
        <f t="shared" si="18"/>
        <v>-150</v>
      </c>
      <c r="M42" s="2"/>
      <c r="N42" s="6">
        <f t="shared" si="19"/>
        <v>-1</v>
      </c>
      <c r="O42" s="11"/>
      <c r="P42" s="7"/>
      <c r="Q42" s="2"/>
      <c r="R42" s="6">
        <f t="shared" si="20"/>
        <v>0</v>
      </c>
      <c r="S42" s="2"/>
      <c r="T42" s="7">
        <v>450</v>
      </c>
      <c r="U42" s="2"/>
      <c r="V42" s="6">
        <f t="shared" si="21"/>
        <v>0</v>
      </c>
      <c r="W42" s="2"/>
      <c r="X42" s="7">
        <f t="shared" si="22"/>
        <v>-450</v>
      </c>
      <c r="Y42" s="2"/>
      <c r="Z42" s="6">
        <f t="shared" si="23"/>
        <v>-1</v>
      </c>
    </row>
    <row r="43" spans="1:26" s="28" customFormat="1" outlineLevel="1" collapsed="1" x14ac:dyDescent="0.25">
      <c r="A43" s="27"/>
      <c r="B43" s="14" t="str">
        <f>CONCATENATE("     ","Employees' Appreciation                           ")</f>
        <v xml:space="preserve">     Employees' Appreciation                           </v>
      </c>
      <c r="C43" s="14"/>
      <c r="D43" s="1">
        <f>SUM(OSRRefD22_3x_0)</f>
        <v>0</v>
      </c>
      <c r="E43" s="1"/>
      <c r="F43" s="5">
        <f t="shared" si="16"/>
        <v>0</v>
      </c>
      <c r="G43" s="1"/>
      <c r="H43" s="1">
        <f>SUM(OSRRefH22_3x_0)</f>
        <v>250</v>
      </c>
      <c r="I43" s="1"/>
      <c r="J43" s="5">
        <f t="shared" si="17"/>
        <v>0</v>
      </c>
      <c r="K43" s="1"/>
      <c r="L43" s="1">
        <f t="shared" si="18"/>
        <v>-250</v>
      </c>
      <c r="M43" s="1"/>
      <c r="N43" s="5">
        <f t="shared" si="19"/>
        <v>-1</v>
      </c>
      <c r="O43" s="14"/>
      <c r="P43" s="1">
        <f>SUM(OSRRefP22_3x_0)</f>
        <v>0</v>
      </c>
      <c r="Q43" s="1"/>
      <c r="R43" s="5">
        <f t="shared" si="20"/>
        <v>0</v>
      </c>
      <c r="S43" s="1"/>
      <c r="T43" s="1">
        <f>SUM(OSRRefT22_3x_0)</f>
        <v>750</v>
      </c>
      <c r="U43" s="1"/>
      <c r="V43" s="5">
        <f t="shared" si="21"/>
        <v>0</v>
      </c>
      <c r="W43" s="1"/>
      <c r="X43" s="1">
        <f t="shared" si="22"/>
        <v>-750</v>
      </c>
      <c r="Y43" s="1"/>
      <c r="Z43" s="5">
        <f t="shared" si="23"/>
        <v>-1</v>
      </c>
    </row>
    <row r="44" spans="1:26" s="24" customFormat="1" hidden="1" outlineLevel="2" x14ac:dyDescent="0.25">
      <c r="A44" s="29"/>
      <c r="B44" s="11" t="str">
        <f>CONCATENATE("          ", "6277", " - ", "EMPLOYEE APPRECIATION")</f>
        <v xml:space="preserve">          6277 - EMPLOYEE APPRECIATION</v>
      </c>
      <c r="C44" s="11"/>
      <c r="D44" s="7"/>
      <c r="E44" s="2"/>
      <c r="F44" s="6">
        <f t="shared" si="16"/>
        <v>0</v>
      </c>
      <c r="G44" s="2"/>
      <c r="H44" s="7">
        <v>250</v>
      </c>
      <c r="I44" s="2"/>
      <c r="J44" s="6">
        <f t="shared" si="17"/>
        <v>0</v>
      </c>
      <c r="K44" s="2"/>
      <c r="L44" s="7">
        <f t="shared" si="18"/>
        <v>-250</v>
      </c>
      <c r="M44" s="2"/>
      <c r="N44" s="6">
        <f t="shared" si="19"/>
        <v>-1</v>
      </c>
      <c r="O44" s="11"/>
      <c r="P44" s="7"/>
      <c r="Q44" s="2"/>
      <c r="R44" s="6">
        <f t="shared" si="20"/>
        <v>0</v>
      </c>
      <c r="S44" s="2"/>
      <c r="T44" s="7">
        <v>750</v>
      </c>
      <c r="U44" s="2"/>
      <c r="V44" s="6">
        <f t="shared" si="21"/>
        <v>0</v>
      </c>
      <c r="W44" s="2"/>
      <c r="X44" s="7">
        <f t="shared" si="22"/>
        <v>-750</v>
      </c>
      <c r="Y44" s="2"/>
      <c r="Z44" s="6">
        <f t="shared" si="23"/>
        <v>-1</v>
      </c>
    </row>
    <row r="45" spans="1:26" s="28" customFormat="1" outlineLevel="1" collapsed="1" x14ac:dyDescent="0.25">
      <c r="A45" s="27"/>
      <c r="B45" s="14" t="str">
        <f>CONCATENATE("     ","Equipment Rental                                  ")</f>
        <v xml:space="preserve">     Equipment Rental                                  </v>
      </c>
      <c r="C45" s="14"/>
      <c r="D45" s="1">
        <f>SUM(OSRRefD22_4x_0)</f>
        <v>0</v>
      </c>
      <c r="E45" s="1"/>
      <c r="F45" s="5">
        <f t="shared" si="16"/>
        <v>0</v>
      </c>
      <c r="G45" s="1"/>
      <c r="H45" s="1">
        <f>SUM(OSRRefH22_4x_0)</f>
        <v>75</v>
      </c>
      <c r="I45" s="1"/>
      <c r="J45" s="5">
        <f t="shared" si="17"/>
        <v>0</v>
      </c>
      <c r="K45" s="1"/>
      <c r="L45" s="1">
        <f t="shared" si="18"/>
        <v>-75</v>
      </c>
      <c r="M45" s="1"/>
      <c r="N45" s="5">
        <f t="shared" si="19"/>
        <v>-1</v>
      </c>
      <c r="O45" s="14"/>
      <c r="P45" s="1">
        <f>SUM(OSRRefP22_4x_0)</f>
        <v>0</v>
      </c>
      <c r="Q45" s="1"/>
      <c r="R45" s="5">
        <f t="shared" si="20"/>
        <v>0</v>
      </c>
      <c r="S45" s="1"/>
      <c r="T45" s="1">
        <f>SUM(OSRRefT22_4x_0)</f>
        <v>225</v>
      </c>
      <c r="U45" s="1"/>
      <c r="V45" s="5">
        <f t="shared" si="21"/>
        <v>0</v>
      </c>
      <c r="W45" s="1"/>
      <c r="X45" s="1">
        <f t="shared" si="22"/>
        <v>-225</v>
      </c>
      <c r="Y45" s="1"/>
      <c r="Z45" s="5">
        <f t="shared" si="23"/>
        <v>-1</v>
      </c>
    </row>
    <row r="46" spans="1:26" s="24" customFormat="1" hidden="1" outlineLevel="2" x14ac:dyDescent="0.25">
      <c r="A46" s="29"/>
      <c r="B46" s="11" t="str">
        <f>CONCATENATE("          ", "6351", " - ", "EQUIPMENT RENTAL")</f>
        <v xml:space="preserve">          6351 - EQUIPMENT RENTAL</v>
      </c>
      <c r="C46" s="11"/>
      <c r="D46" s="7"/>
      <c r="E46" s="2"/>
      <c r="F46" s="6">
        <f t="shared" si="16"/>
        <v>0</v>
      </c>
      <c r="G46" s="2"/>
      <c r="H46" s="7">
        <v>75</v>
      </c>
      <c r="I46" s="2"/>
      <c r="J46" s="6">
        <f t="shared" si="17"/>
        <v>0</v>
      </c>
      <c r="K46" s="2"/>
      <c r="L46" s="7">
        <f t="shared" si="18"/>
        <v>-75</v>
      </c>
      <c r="M46" s="2"/>
      <c r="N46" s="6">
        <f t="shared" si="19"/>
        <v>-1</v>
      </c>
      <c r="O46" s="11"/>
      <c r="P46" s="7"/>
      <c r="Q46" s="2"/>
      <c r="R46" s="6">
        <f t="shared" si="20"/>
        <v>0</v>
      </c>
      <c r="S46" s="2"/>
      <c r="T46" s="7">
        <v>225</v>
      </c>
      <c r="U46" s="2"/>
      <c r="V46" s="6">
        <f t="shared" si="21"/>
        <v>0</v>
      </c>
      <c r="W46" s="2"/>
      <c r="X46" s="7">
        <f t="shared" si="22"/>
        <v>-225</v>
      </c>
      <c r="Y46" s="2"/>
      <c r="Z46" s="6">
        <f t="shared" si="23"/>
        <v>-1</v>
      </c>
    </row>
    <row r="47" spans="1:26" s="28" customFormat="1" outlineLevel="1" collapsed="1" x14ac:dyDescent="0.25">
      <c r="A47" s="27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SUM(OSRRefD22_5x_0)</f>
        <v>52.08</v>
      </c>
      <c r="E47" s="1"/>
      <c r="F47" s="5">
        <f t="shared" si="16"/>
        <v>0</v>
      </c>
      <c r="G47" s="1"/>
      <c r="H47" s="1">
        <f>SUM(OSRRefH22_5x_0)</f>
        <v>0</v>
      </c>
      <c r="I47" s="1"/>
      <c r="J47" s="5">
        <f t="shared" si="17"/>
        <v>0</v>
      </c>
      <c r="K47" s="1"/>
      <c r="L47" s="1">
        <f t="shared" si="18"/>
        <v>52.08</v>
      </c>
      <c r="M47" s="1"/>
      <c r="N47" s="5">
        <f t="shared" si="19"/>
        <v>0</v>
      </c>
      <c r="O47" s="14"/>
      <c r="P47" s="1">
        <f>SUM(OSRRefP22_5x_0)</f>
        <v>128.34</v>
      </c>
      <c r="Q47" s="1"/>
      <c r="R47" s="5">
        <f t="shared" si="20"/>
        <v>0</v>
      </c>
      <c r="S47" s="1"/>
      <c r="T47" s="1">
        <f>SUM(OSRRefT22_5x_0)</f>
        <v>0</v>
      </c>
      <c r="U47" s="1"/>
      <c r="V47" s="5">
        <f t="shared" si="21"/>
        <v>0</v>
      </c>
      <c r="W47" s="1"/>
      <c r="X47" s="1">
        <f t="shared" si="22"/>
        <v>128.34</v>
      </c>
      <c r="Y47" s="1"/>
      <c r="Z47" s="5">
        <f t="shared" si="23"/>
        <v>0</v>
      </c>
    </row>
    <row r="48" spans="1:26" s="24" customFormat="1" hidden="1" outlineLevel="2" x14ac:dyDescent="0.25">
      <c r="A48" s="29"/>
      <c r="B48" s="11" t="str">
        <f>CONCATENATE("          ", "6307", " - ", "POSTAGE")</f>
        <v xml:space="preserve">          6307 - POSTAGE</v>
      </c>
      <c r="C48" s="11"/>
      <c r="D48" s="7">
        <v>52.08</v>
      </c>
      <c r="E48" s="2"/>
      <c r="F48" s="6">
        <f t="shared" si="16"/>
        <v>0</v>
      </c>
      <c r="G48" s="2"/>
      <c r="H48" s="7"/>
      <c r="I48" s="2"/>
      <c r="J48" s="6">
        <f t="shared" si="17"/>
        <v>0</v>
      </c>
      <c r="K48" s="2"/>
      <c r="L48" s="7">
        <f t="shared" si="18"/>
        <v>52.08</v>
      </c>
      <c r="M48" s="2"/>
      <c r="N48" s="6">
        <f t="shared" si="19"/>
        <v>0</v>
      </c>
      <c r="O48" s="11"/>
      <c r="P48" s="7">
        <v>128.34</v>
      </c>
      <c r="Q48" s="2"/>
      <c r="R48" s="6">
        <f t="shared" si="20"/>
        <v>0</v>
      </c>
      <c r="S48" s="2"/>
      <c r="T48" s="7"/>
      <c r="U48" s="2"/>
      <c r="V48" s="6">
        <f t="shared" si="21"/>
        <v>0</v>
      </c>
      <c r="W48" s="2"/>
      <c r="X48" s="7">
        <f t="shared" si="22"/>
        <v>128.34</v>
      </c>
      <c r="Y48" s="2"/>
      <c r="Z48" s="6">
        <f t="shared" si="23"/>
        <v>0</v>
      </c>
    </row>
    <row r="49" spans="1:26" s="28" customFormat="1" outlineLevel="1" collapsed="1" x14ac:dyDescent="0.25">
      <c r="A49" s="27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890.75</v>
      </c>
      <c r="E49" s="1"/>
      <c r="F49" s="5">
        <f t="shared" si="16"/>
        <v>0</v>
      </c>
      <c r="G49" s="1"/>
      <c r="H49" s="1">
        <f>SUM(OSRRefH22_6x_0)</f>
        <v>0</v>
      </c>
      <c r="I49" s="1"/>
      <c r="J49" s="5">
        <f t="shared" si="17"/>
        <v>0</v>
      </c>
      <c r="K49" s="1"/>
      <c r="L49" s="1">
        <f t="shared" si="18"/>
        <v>890.75</v>
      </c>
      <c r="M49" s="1"/>
      <c r="N49" s="5">
        <f t="shared" si="19"/>
        <v>0</v>
      </c>
      <c r="O49" s="14"/>
      <c r="P49" s="1">
        <f>SUM(OSRRefP22_6x_0)</f>
        <v>2120.75</v>
      </c>
      <c r="Q49" s="1"/>
      <c r="R49" s="5">
        <f t="shared" si="20"/>
        <v>0</v>
      </c>
      <c r="S49" s="1"/>
      <c r="T49" s="1">
        <f>SUM(OSRRefT22_6x_0)</f>
        <v>0</v>
      </c>
      <c r="U49" s="1"/>
      <c r="V49" s="5">
        <f t="shared" si="21"/>
        <v>0</v>
      </c>
      <c r="W49" s="1"/>
      <c r="X49" s="1">
        <f t="shared" si="22"/>
        <v>2120.75</v>
      </c>
      <c r="Y49" s="1"/>
      <c r="Z49" s="5">
        <f t="shared" si="23"/>
        <v>0</v>
      </c>
    </row>
    <row r="50" spans="1:26" s="24" customFormat="1" hidden="1" outlineLevel="2" x14ac:dyDescent="0.25">
      <c r="A50" s="29"/>
      <c r="B50" s="11" t="str">
        <f>CONCATENATE("          ", "6279", " - ", "GENERAL EXPENSE")</f>
        <v xml:space="preserve">          6279 - GENERAL EXPENSE</v>
      </c>
      <c r="C50" s="11"/>
      <c r="D50" s="7">
        <v>890.75</v>
      </c>
      <c r="E50" s="2"/>
      <c r="F50" s="6">
        <f t="shared" si="16"/>
        <v>0</v>
      </c>
      <c r="G50" s="2"/>
      <c r="H50" s="7"/>
      <c r="I50" s="2"/>
      <c r="J50" s="6">
        <f t="shared" si="17"/>
        <v>0</v>
      </c>
      <c r="K50" s="2"/>
      <c r="L50" s="7">
        <f t="shared" si="18"/>
        <v>890.75</v>
      </c>
      <c r="M50" s="2"/>
      <c r="N50" s="6">
        <f t="shared" si="19"/>
        <v>0</v>
      </c>
      <c r="O50" s="11"/>
      <c r="P50" s="7">
        <v>2120.75</v>
      </c>
      <c r="Q50" s="2"/>
      <c r="R50" s="6">
        <f t="shared" si="20"/>
        <v>0</v>
      </c>
      <c r="S50" s="2"/>
      <c r="T50" s="7"/>
      <c r="U50" s="2"/>
      <c r="V50" s="6">
        <f t="shared" si="21"/>
        <v>0</v>
      </c>
      <c r="W50" s="2"/>
      <c r="X50" s="7">
        <f t="shared" si="22"/>
        <v>2120.75</v>
      </c>
      <c r="Y50" s="2"/>
      <c r="Z50" s="6">
        <f t="shared" si="23"/>
        <v>0</v>
      </c>
    </row>
    <row r="51" spans="1:26" s="28" customFormat="1" outlineLevel="1" collapsed="1" x14ac:dyDescent="0.25">
      <c r="A51" s="27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88.99</v>
      </c>
      <c r="E51" s="1"/>
      <c r="F51" s="5">
        <f t="shared" si="16"/>
        <v>0</v>
      </c>
      <c r="G51" s="1"/>
      <c r="H51" s="1">
        <f>SUM(OSRRefH22_7x_0)</f>
        <v>90</v>
      </c>
      <c r="I51" s="1"/>
      <c r="J51" s="5">
        <f t="shared" si="17"/>
        <v>0</v>
      </c>
      <c r="K51" s="1"/>
      <c r="L51" s="1">
        <f t="shared" si="18"/>
        <v>-1.0100000000000051</v>
      </c>
      <c r="M51" s="1"/>
      <c r="N51" s="5">
        <f t="shared" si="19"/>
        <v>-1.1222222222222279E-2</v>
      </c>
      <c r="O51" s="14"/>
      <c r="P51" s="1">
        <f>SUM(OSRRefP22_7x_0)</f>
        <v>266.97000000000003</v>
      </c>
      <c r="Q51" s="1"/>
      <c r="R51" s="5">
        <f t="shared" si="20"/>
        <v>0</v>
      </c>
      <c r="S51" s="1"/>
      <c r="T51" s="1">
        <f>SUM(OSRRefT22_7x_0)</f>
        <v>270</v>
      </c>
      <c r="U51" s="1"/>
      <c r="V51" s="5">
        <f t="shared" si="21"/>
        <v>0</v>
      </c>
      <c r="W51" s="1"/>
      <c r="X51" s="1">
        <f t="shared" si="22"/>
        <v>-3.0299999999999727</v>
      </c>
      <c r="Y51" s="1"/>
      <c r="Z51" s="5">
        <f t="shared" si="23"/>
        <v>-1.1222222222222121E-2</v>
      </c>
    </row>
    <row r="52" spans="1:26" s="24" customFormat="1" hidden="1" outlineLevel="2" x14ac:dyDescent="0.25">
      <c r="A52" s="29"/>
      <c r="B52" s="11" t="str">
        <f>CONCATENATE("          ", "6314", " - ", "LIABILITY INSURANCE")</f>
        <v xml:space="preserve">          6314 - LIABILITY INSURANCE</v>
      </c>
      <c r="C52" s="11"/>
      <c r="D52" s="7">
        <v>88.99</v>
      </c>
      <c r="E52" s="2"/>
      <c r="F52" s="6">
        <f t="shared" si="16"/>
        <v>0</v>
      </c>
      <c r="G52" s="2"/>
      <c r="H52" s="7">
        <v>90</v>
      </c>
      <c r="I52" s="2"/>
      <c r="J52" s="6">
        <f t="shared" si="17"/>
        <v>0</v>
      </c>
      <c r="K52" s="2"/>
      <c r="L52" s="7">
        <f t="shared" si="18"/>
        <v>-1.0100000000000051</v>
      </c>
      <c r="M52" s="2"/>
      <c r="N52" s="6">
        <f t="shared" si="19"/>
        <v>-1.1222222222222279E-2</v>
      </c>
      <c r="O52" s="11"/>
      <c r="P52" s="7">
        <v>266.97000000000003</v>
      </c>
      <c r="Q52" s="2"/>
      <c r="R52" s="6">
        <f t="shared" si="20"/>
        <v>0</v>
      </c>
      <c r="S52" s="2"/>
      <c r="T52" s="7">
        <v>270</v>
      </c>
      <c r="U52" s="2"/>
      <c r="V52" s="6">
        <f t="shared" si="21"/>
        <v>0</v>
      </c>
      <c r="W52" s="2"/>
      <c r="X52" s="7">
        <f t="shared" si="22"/>
        <v>-3.0299999999999727</v>
      </c>
      <c r="Y52" s="2"/>
      <c r="Z52" s="6">
        <f t="shared" si="23"/>
        <v>-1.1222222222222121E-2</v>
      </c>
    </row>
    <row r="53" spans="1:26" s="28" customFormat="1" outlineLevel="1" collapsed="1" x14ac:dyDescent="0.25">
      <c r="A53" s="27"/>
      <c r="B53" s="14" t="str">
        <f>CONCATENATE("     ","Professional Services                             ")</f>
        <v xml:space="preserve">     Professional Services                             </v>
      </c>
      <c r="C53" s="14"/>
      <c r="D53" s="1">
        <f>SUM(OSRRefD22_8x_0)</f>
        <v>1253.8499999999999</v>
      </c>
      <c r="E53" s="1"/>
      <c r="F53" s="5">
        <f t="shared" si="16"/>
        <v>0</v>
      </c>
      <c r="G53" s="1"/>
      <c r="H53" s="1">
        <f>SUM(OSRRefH22_8x_0)</f>
        <v>1666</v>
      </c>
      <c r="I53" s="1"/>
      <c r="J53" s="5">
        <f t="shared" si="17"/>
        <v>0</v>
      </c>
      <c r="K53" s="1"/>
      <c r="L53" s="1">
        <f t="shared" si="18"/>
        <v>-412.15000000000009</v>
      </c>
      <c r="M53" s="1"/>
      <c r="N53" s="5">
        <f t="shared" si="19"/>
        <v>-0.24738895558223295</v>
      </c>
      <c r="O53" s="14"/>
      <c r="P53" s="1">
        <f>SUM(OSRRefP22_8x_0)</f>
        <v>6203.85</v>
      </c>
      <c r="Q53" s="1"/>
      <c r="R53" s="5">
        <f t="shared" si="20"/>
        <v>0</v>
      </c>
      <c r="S53" s="1"/>
      <c r="T53" s="1">
        <f>SUM(OSRRefT22_8x_0)</f>
        <v>4998</v>
      </c>
      <c r="U53" s="1"/>
      <c r="V53" s="5">
        <f t="shared" si="21"/>
        <v>0</v>
      </c>
      <c r="W53" s="1"/>
      <c r="X53" s="1">
        <f t="shared" si="22"/>
        <v>1205.8500000000004</v>
      </c>
      <c r="Y53" s="1"/>
      <c r="Z53" s="5">
        <f t="shared" si="23"/>
        <v>0.24126650660264112</v>
      </c>
    </row>
    <row r="54" spans="1:26" s="24" customFormat="1" hidden="1" outlineLevel="2" x14ac:dyDescent="0.25">
      <c r="A54" s="29"/>
      <c r="B54" s="11" t="str">
        <f>CONCATENATE("          ", "6332", " - ", "CONSULTANT FEES")</f>
        <v xml:space="preserve">          6332 - CONSULTANT FEES</v>
      </c>
      <c r="C54" s="11"/>
      <c r="D54" s="7"/>
      <c r="E54" s="2"/>
      <c r="F54" s="6">
        <f t="shared" si="16"/>
        <v>0</v>
      </c>
      <c r="G54" s="2"/>
      <c r="H54" s="7">
        <v>0</v>
      </c>
      <c r="I54" s="2"/>
      <c r="J54" s="6">
        <f t="shared" si="17"/>
        <v>0</v>
      </c>
      <c r="K54" s="2"/>
      <c r="L54" s="7">
        <f t="shared" si="18"/>
        <v>0</v>
      </c>
      <c r="M54" s="2"/>
      <c r="N54" s="6">
        <f t="shared" si="19"/>
        <v>0</v>
      </c>
      <c r="O54" s="11"/>
      <c r="P54" s="7"/>
      <c r="Q54" s="2"/>
      <c r="R54" s="6">
        <f t="shared" si="20"/>
        <v>0</v>
      </c>
      <c r="S54" s="2"/>
      <c r="T54" s="7">
        <v>0</v>
      </c>
      <c r="U54" s="2"/>
      <c r="V54" s="6">
        <f t="shared" si="21"/>
        <v>0</v>
      </c>
      <c r="W54" s="2"/>
      <c r="X54" s="7">
        <f t="shared" si="22"/>
        <v>0</v>
      </c>
      <c r="Y54" s="2"/>
      <c r="Z54" s="6">
        <f t="shared" si="23"/>
        <v>0</v>
      </c>
    </row>
    <row r="55" spans="1:26" s="24" customFormat="1" hidden="1" outlineLevel="2" x14ac:dyDescent="0.25">
      <c r="A55" s="29"/>
      <c r="B55" s="11" t="str">
        <f>CONCATENATE("          ", "6334", " - ", "LEGAL COUNCIL EXPENSE")</f>
        <v xml:space="preserve">          6334 - LEGAL COUNCIL EXPENSE</v>
      </c>
      <c r="C55" s="11"/>
      <c r="D55" s="7"/>
      <c r="E55" s="2"/>
      <c r="F55" s="6">
        <f t="shared" si="16"/>
        <v>0</v>
      </c>
      <c r="G55" s="2"/>
      <c r="H55" s="7">
        <v>833</v>
      </c>
      <c r="I55" s="2"/>
      <c r="J55" s="6">
        <f t="shared" si="17"/>
        <v>0</v>
      </c>
      <c r="K55" s="2"/>
      <c r="L55" s="7">
        <f t="shared" si="18"/>
        <v>-833</v>
      </c>
      <c r="M55" s="2"/>
      <c r="N55" s="6">
        <f t="shared" si="19"/>
        <v>-1</v>
      </c>
      <c r="O55" s="11"/>
      <c r="P55" s="7">
        <v>3255</v>
      </c>
      <c r="Q55" s="2"/>
      <c r="R55" s="6">
        <f t="shared" si="20"/>
        <v>0</v>
      </c>
      <c r="S55" s="2"/>
      <c r="T55" s="7">
        <v>2499</v>
      </c>
      <c r="U55" s="2"/>
      <c r="V55" s="6">
        <f t="shared" si="21"/>
        <v>0</v>
      </c>
      <c r="W55" s="2"/>
      <c r="X55" s="7">
        <f t="shared" si="22"/>
        <v>756</v>
      </c>
      <c r="Y55" s="2"/>
      <c r="Z55" s="6">
        <f t="shared" si="23"/>
        <v>0.30252100840336132</v>
      </c>
    </row>
    <row r="56" spans="1:26" s="24" customFormat="1" hidden="1" outlineLevel="2" x14ac:dyDescent="0.25">
      <c r="A56" s="29"/>
      <c r="B56" s="11" t="str">
        <f>CONCATENATE("          ", "6336", " - ", "PROFESSIONAL SERVICES")</f>
        <v xml:space="preserve">          6336 - PROFESSIONAL SERVICES</v>
      </c>
      <c r="C56" s="11"/>
      <c r="D56" s="7">
        <v>1253.8499999999999</v>
      </c>
      <c r="E56" s="2"/>
      <c r="F56" s="6">
        <f t="shared" si="16"/>
        <v>0</v>
      </c>
      <c r="G56" s="2"/>
      <c r="H56" s="7">
        <v>833</v>
      </c>
      <c r="I56" s="2"/>
      <c r="J56" s="6">
        <f t="shared" si="17"/>
        <v>0</v>
      </c>
      <c r="K56" s="2"/>
      <c r="L56" s="7">
        <f t="shared" si="18"/>
        <v>420.84999999999991</v>
      </c>
      <c r="M56" s="2"/>
      <c r="N56" s="6">
        <f t="shared" si="19"/>
        <v>0.5052220888355341</v>
      </c>
      <c r="O56" s="11"/>
      <c r="P56" s="7">
        <v>2948.85</v>
      </c>
      <c r="Q56" s="2"/>
      <c r="R56" s="6">
        <f t="shared" si="20"/>
        <v>0</v>
      </c>
      <c r="S56" s="2"/>
      <c r="T56" s="7">
        <v>2499</v>
      </c>
      <c r="U56" s="2"/>
      <c r="V56" s="6">
        <f t="shared" si="21"/>
        <v>0</v>
      </c>
      <c r="W56" s="2"/>
      <c r="X56" s="7">
        <f t="shared" si="22"/>
        <v>449.84999999999991</v>
      </c>
      <c r="Y56" s="2"/>
      <c r="Z56" s="6">
        <f t="shared" si="23"/>
        <v>0.18001200480192073</v>
      </c>
    </row>
    <row r="57" spans="1:26" s="28" customFormat="1" outlineLevel="1" collapsed="1" x14ac:dyDescent="0.25">
      <c r="A57" s="27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4894.6899999999996</v>
      </c>
      <c r="E57" s="1"/>
      <c r="F57" s="5">
        <f t="shared" ref="F57:F59" si="24">IF(D$12=0,0,D57/D$12)</f>
        <v>0</v>
      </c>
      <c r="G57" s="1"/>
      <c r="H57" s="1">
        <f>SUM(OSRRefH22_9x_0)</f>
        <v>7000</v>
      </c>
      <c r="I57" s="1"/>
      <c r="J57" s="5">
        <f t="shared" ref="J57:J59" si="25">IF(H$12=0,0,H57/H$12)</f>
        <v>0</v>
      </c>
      <c r="K57" s="1"/>
      <c r="L57" s="1">
        <f t="shared" ref="L57:L59" si="26">+D57-H57</f>
        <v>-2105.3100000000004</v>
      </c>
      <c r="M57" s="1"/>
      <c r="N57" s="5">
        <f t="shared" ref="N57:N59" si="27">IF(H57=0,0,L57/H57)</f>
        <v>-0.30075857142857149</v>
      </c>
      <c r="O57" s="14"/>
      <c r="P57" s="1">
        <f>SUM(OSRRefP22_9x_0)</f>
        <v>13793.14</v>
      </c>
      <c r="Q57" s="1"/>
      <c r="R57" s="5">
        <f t="shared" ref="R57:R59" si="28">IF(P$12=0,0,P57/P$12)</f>
        <v>0</v>
      </c>
      <c r="S57" s="1"/>
      <c r="T57" s="1">
        <f>SUM(OSRRefT22_9x_0)</f>
        <v>21000</v>
      </c>
      <c r="U57" s="1"/>
      <c r="V57" s="5">
        <f t="shared" ref="V57:V59" si="29">IF(T$12=0,0,T57/T$12)</f>
        <v>0</v>
      </c>
      <c r="W57" s="1"/>
      <c r="X57" s="1">
        <f t="shared" ref="X57:X59" si="30">+P57-T57</f>
        <v>-7206.8600000000006</v>
      </c>
      <c r="Y57" s="1"/>
      <c r="Z57" s="5">
        <f t="shared" ref="Z57:Z59" si="31">IF(T57=0,0,X57/T57)</f>
        <v>-0.34318380952380956</v>
      </c>
    </row>
    <row r="58" spans="1:26" s="24" customFormat="1" hidden="1" outlineLevel="2" x14ac:dyDescent="0.25">
      <c r="A58" s="29"/>
      <c r="B58" s="11" t="str">
        <f>CONCATENATE("          ", "6371", " - ", "COMPUTER SOFTWARE MAINTENANCE")</f>
        <v xml:space="preserve">          6371 - COMPUTER SOFTWARE MAINTENANCE</v>
      </c>
      <c r="C58" s="11"/>
      <c r="D58" s="7">
        <v>4894.6899999999996</v>
      </c>
      <c r="E58" s="2"/>
      <c r="F58" s="6">
        <f t="shared" si="24"/>
        <v>0</v>
      </c>
      <c r="G58" s="2"/>
      <c r="H58" s="7">
        <v>7000</v>
      </c>
      <c r="I58" s="2"/>
      <c r="J58" s="6">
        <f t="shared" si="25"/>
        <v>0</v>
      </c>
      <c r="K58" s="2"/>
      <c r="L58" s="7">
        <f t="shared" si="26"/>
        <v>-2105.3100000000004</v>
      </c>
      <c r="M58" s="2"/>
      <c r="N58" s="6">
        <f t="shared" si="27"/>
        <v>-0.30075857142857149</v>
      </c>
      <c r="O58" s="11"/>
      <c r="P58" s="7">
        <v>13694.55</v>
      </c>
      <c r="Q58" s="2"/>
      <c r="R58" s="6">
        <f t="shared" si="28"/>
        <v>0</v>
      </c>
      <c r="S58" s="2"/>
      <c r="T58" s="7">
        <v>21000</v>
      </c>
      <c r="U58" s="2"/>
      <c r="V58" s="6">
        <f t="shared" si="29"/>
        <v>0</v>
      </c>
      <c r="W58" s="2"/>
      <c r="X58" s="7">
        <f t="shared" si="30"/>
        <v>-7305.4500000000007</v>
      </c>
      <c r="Y58" s="2"/>
      <c r="Z58" s="6">
        <f t="shared" si="31"/>
        <v>-0.34787857142857148</v>
      </c>
    </row>
    <row r="59" spans="1:26" s="24" customFormat="1" hidden="1" outlineLevel="2" x14ac:dyDescent="0.25">
      <c r="A59" s="29"/>
      <c r="B59" s="11" t="str">
        <f>CONCATENATE("          ", "6373", " - ", "MAINTENANCE CONTRACTS")</f>
        <v xml:space="preserve">          6373 - MAINTENANCE CONTRACTS</v>
      </c>
      <c r="C59" s="11"/>
      <c r="D59" s="7"/>
      <c r="E59" s="2"/>
      <c r="F59" s="6">
        <f t="shared" si="24"/>
        <v>0</v>
      </c>
      <c r="G59" s="2"/>
      <c r="H59" s="7"/>
      <c r="I59" s="2"/>
      <c r="J59" s="6">
        <f t="shared" si="25"/>
        <v>0</v>
      </c>
      <c r="K59" s="2"/>
      <c r="L59" s="7">
        <f t="shared" si="26"/>
        <v>0</v>
      </c>
      <c r="M59" s="2"/>
      <c r="N59" s="6">
        <f t="shared" si="27"/>
        <v>0</v>
      </c>
      <c r="O59" s="11"/>
      <c r="P59" s="7">
        <v>98.59</v>
      </c>
      <c r="Q59" s="2"/>
      <c r="R59" s="6">
        <f t="shared" si="28"/>
        <v>0</v>
      </c>
      <c r="S59" s="2"/>
      <c r="T59" s="7"/>
      <c r="U59" s="2"/>
      <c r="V59" s="6">
        <f t="shared" si="29"/>
        <v>0</v>
      </c>
      <c r="W59" s="2"/>
      <c r="X59" s="7">
        <f t="shared" si="30"/>
        <v>98.59</v>
      </c>
      <c r="Y59" s="2"/>
      <c r="Z59" s="6">
        <f t="shared" si="31"/>
        <v>0</v>
      </c>
    </row>
    <row r="60" spans="1:26" s="28" customFormat="1" outlineLevel="1" collapsed="1" x14ac:dyDescent="0.25">
      <c r="A60" s="27"/>
      <c r="B60" s="14" t="str">
        <f>CONCATENATE("     ","Subscriptions &amp; Dues                              ")</f>
        <v xml:space="preserve">     Subscriptions &amp; Dues                              </v>
      </c>
      <c r="C60" s="14"/>
      <c r="D60" s="1">
        <f>SUM(OSRRefD22_10x_0)</f>
        <v>0</v>
      </c>
      <c r="E60" s="1"/>
      <c r="F60" s="5">
        <f t="shared" ref="F60:F66" si="32">IF(D$12=0,0,D60/D$12)</f>
        <v>0</v>
      </c>
      <c r="G60" s="1"/>
      <c r="H60" s="1">
        <f>SUM(OSRRefH22_10x_0)</f>
        <v>0</v>
      </c>
      <c r="I60" s="1"/>
      <c r="J60" s="5">
        <f t="shared" ref="J60:J66" si="33">IF(H$12=0,0,H60/H$12)</f>
        <v>0</v>
      </c>
      <c r="K60" s="1"/>
      <c r="L60" s="1">
        <f t="shared" ref="L60:L66" si="34">+D60-H60</f>
        <v>0</v>
      </c>
      <c r="M60" s="1"/>
      <c r="N60" s="5">
        <f t="shared" ref="N60:N66" si="35">IF(H60=0,0,L60/H60)</f>
        <v>0</v>
      </c>
      <c r="O60" s="14"/>
      <c r="P60" s="1">
        <f>SUM(OSRRefP22_10x_0)</f>
        <v>219</v>
      </c>
      <c r="Q60" s="1"/>
      <c r="R60" s="5">
        <f t="shared" ref="R60:R66" si="36">IF(P$12=0,0,P60/P$12)</f>
        <v>0</v>
      </c>
      <c r="S60" s="1"/>
      <c r="T60" s="1">
        <f>SUM(OSRRefT22_10x_0)</f>
        <v>0</v>
      </c>
      <c r="U60" s="1"/>
      <c r="V60" s="5">
        <f t="shared" ref="V60:V66" si="37">IF(T$12=0,0,T60/T$12)</f>
        <v>0</v>
      </c>
      <c r="W60" s="1"/>
      <c r="X60" s="1">
        <f t="shared" ref="X60:X66" si="38">+P60-T60</f>
        <v>219</v>
      </c>
      <c r="Y60" s="1"/>
      <c r="Z60" s="5">
        <f t="shared" ref="Z60:Z66" si="39">IF(T60=0,0,X60/T60)</f>
        <v>0</v>
      </c>
    </row>
    <row r="61" spans="1:26" s="24" customFormat="1" hidden="1" outlineLevel="2" x14ac:dyDescent="0.25">
      <c r="A61" s="29"/>
      <c r="B61" s="11" t="str">
        <f>CONCATENATE("          ", "6258", " - ", "MEMBERSHIP DUES")</f>
        <v xml:space="preserve">          6258 - MEMBERSHIP DUES</v>
      </c>
      <c r="C61" s="11"/>
      <c r="D61" s="7"/>
      <c r="E61" s="2"/>
      <c r="F61" s="6">
        <f t="shared" si="32"/>
        <v>0</v>
      </c>
      <c r="G61" s="2"/>
      <c r="H61" s="7"/>
      <c r="I61" s="2"/>
      <c r="J61" s="6">
        <f t="shared" si="33"/>
        <v>0</v>
      </c>
      <c r="K61" s="2"/>
      <c r="L61" s="7">
        <f t="shared" si="34"/>
        <v>0</v>
      </c>
      <c r="M61" s="2"/>
      <c r="N61" s="6">
        <f t="shared" si="35"/>
        <v>0</v>
      </c>
      <c r="O61" s="11"/>
      <c r="P61" s="7">
        <v>219</v>
      </c>
      <c r="Q61" s="2"/>
      <c r="R61" s="6">
        <f t="shared" si="36"/>
        <v>0</v>
      </c>
      <c r="S61" s="2"/>
      <c r="T61" s="7"/>
      <c r="U61" s="2"/>
      <c r="V61" s="6">
        <f t="shared" si="37"/>
        <v>0</v>
      </c>
      <c r="W61" s="2"/>
      <c r="X61" s="7">
        <f t="shared" si="38"/>
        <v>219</v>
      </c>
      <c r="Y61" s="2"/>
      <c r="Z61" s="6">
        <f t="shared" si="39"/>
        <v>0</v>
      </c>
    </row>
    <row r="62" spans="1:26" s="28" customFormat="1" outlineLevel="1" collapsed="1" x14ac:dyDescent="0.25">
      <c r="A62" s="27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SUM(OSRRefD22_11x_0)</f>
        <v>254.38</v>
      </c>
      <c r="E62" s="1"/>
      <c r="F62" s="5">
        <f t="shared" si="32"/>
        <v>0</v>
      </c>
      <c r="G62" s="1"/>
      <c r="H62" s="1">
        <f>SUM(OSRRefH22_11x_0)</f>
        <v>1834</v>
      </c>
      <c r="I62" s="1"/>
      <c r="J62" s="5">
        <f t="shared" si="33"/>
        <v>0</v>
      </c>
      <c r="K62" s="1"/>
      <c r="L62" s="1">
        <f t="shared" si="34"/>
        <v>-1579.62</v>
      </c>
      <c r="M62" s="1"/>
      <c r="N62" s="5">
        <f t="shared" si="35"/>
        <v>-0.86129770992366406</v>
      </c>
      <c r="O62" s="14"/>
      <c r="P62" s="1">
        <f>SUM(OSRRefP22_11x_0)</f>
        <v>4839.18</v>
      </c>
      <c r="Q62" s="1"/>
      <c r="R62" s="5">
        <f t="shared" si="36"/>
        <v>0</v>
      </c>
      <c r="S62" s="1"/>
      <c r="T62" s="1">
        <f>SUM(OSRRefT22_11x_0)</f>
        <v>5502</v>
      </c>
      <c r="U62" s="1"/>
      <c r="V62" s="5">
        <f t="shared" si="37"/>
        <v>0</v>
      </c>
      <c r="W62" s="1"/>
      <c r="X62" s="1">
        <f t="shared" si="38"/>
        <v>-662.81999999999971</v>
      </c>
      <c r="Y62" s="1"/>
      <c r="Z62" s="5">
        <f t="shared" si="39"/>
        <v>-0.12046892039258446</v>
      </c>
    </row>
    <row r="63" spans="1:26" s="24" customFormat="1" hidden="1" outlineLevel="2" x14ac:dyDescent="0.25">
      <c r="A63" s="29"/>
      <c r="B63" s="11" t="str">
        <f>CONCATENATE("          ", "6235", " - ", "COVID-19 EXPENSES")</f>
        <v xml:space="preserve">          6235 - COVID-19 EXPENSES</v>
      </c>
      <c r="C63" s="11"/>
      <c r="D63" s="7"/>
      <c r="E63" s="2"/>
      <c r="F63" s="6">
        <f t="shared" si="32"/>
        <v>0</v>
      </c>
      <c r="G63" s="2"/>
      <c r="H63" s="7"/>
      <c r="I63" s="2"/>
      <c r="J63" s="6">
        <f t="shared" si="33"/>
        <v>0</v>
      </c>
      <c r="K63" s="2"/>
      <c r="L63" s="7">
        <f t="shared" si="34"/>
        <v>0</v>
      </c>
      <c r="M63" s="2"/>
      <c r="N63" s="6">
        <f t="shared" si="35"/>
        <v>0</v>
      </c>
      <c r="O63" s="11"/>
      <c r="P63" s="7">
        <v>2447.77</v>
      </c>
      <c r="Q63" s="2"/>
      <c r="R63" s="6">
        <f t="shared" si="36"/>
        <v>0</v>
      </c>
      <c r="S63" s="2"/>
      <c r="T63" s="7"/>
      <c r="U63" s="2"/>
      <c r="V63" s="6">
        <f t="shared" si="37"/>
        <v>0</v>
      </c>
      <c r="W63" s="2"/>
      <c r="X63" s="7">
        <f t="shared" si="38"/>
        <v>2447.77</v>
      </c>
      <c r="Y63" s="2"/>
      <c r="Z63" s="6">
        <f t="shared" si="39"/>
        <v>0</v>
      </c>
    </row>
    <row r="64" spans="1:26" s="24" customFormat="1" hidden="1" outlineLevel="2" x14ac:dyDescent="0.25">
      <c r="A64" s="29"/>
      <c r="B64" s="11" t="str">
        <f>CONCATENATE("          ", "6241", " - ", "OFFICE EXPENSE")</f>
        <v xml:space="preserve">          6241 - OFFICE EXPENSE</v>
      </c>
      <c r="C64" s="11"/>
      <c r="D64" s="7">
        <v>79.38</v>
      </c>
      <c r="E64" s="2"/>
      <c r="F64" s="6">
        <f t="shared" si="32"/>
        <v>0</v>
      </c>
      <c r="G64" s="2"/>
      <c r="H64" s="7">
        <v>1417</v>
      </c>
      <c r="I64" s="2"/>
      <c r="J64" s="6">
        <f t="shared" si="33"/>
        <v>0</v>
      </c>
      <c r="K64" s="2"/>
      <c r="L64" s="7">
        <f t="shared" si="34"/>
        <v>-1337.62</v>
      </c>
      <c r="M64" s="2"/>
      <c r="N64" s="6">
        <f t="shared" si="35"/>
        <v>-0.94398023994354263</v>
      </c>
      <c r="O64" s="11"/>
      <c r="P64" s="7">
        <v>804.72</v>
      </c>
      <c r="Q64" s="2"/>
      <c r="R64" s="6">
        <f t="shared" si="36"/>
        <v>0</v>
      </c>
      <c r="S64" s="2"/>
      <c r="T64" s="7">
        <v>4251</v>
      </c>
      <c r="U64" s="2"/>
      <c r="V64" s="6">
        <f t="shared" si="37"/>
        <v>0</v>
      </c>
      <c r="W64" s="2"/>
      <c r="X64" s="7">
        <f t="shared" si="38"/>
        <v>-3446.2799999999997</v>
      </c>
      <c r="Y64" s="2"/>
      <c r="Z64" s="6">
        <f t="shared" si="39"/>
        <v>-0.81069865913902606</v>
      </c>
    </row>
    <row r="65" spans="1:26" s="24" customFormat="1" hidden="1" outlineLevel="2" x14ac:dyDescent="0.25">
      <c r="A65" s="29"/>
      <c r="B65" s="11" t="str">
        <f>CONCATENATE("          ", "6244", " - ", "SAFETY SUPPLY EXPENSE")</f>
        <v xml:space="preserve">          6244 - SAFETY SUPPLY EXPENSE</v>
      </c>
      <c r="C65" s="11"/>
      <c r="D65" s="7">
        <v>175</v>
      </c>
      <c r="E65" s="2"/>
      <c r="F65" s="6">
        <f t="shared" si="32"/>
        <v>0</v>
      </c>
      <c r="G65" s="2"/>
      <c r="H65" s="7">
        <v>417</v>
      </c>
      <c r="I65" s="2"/>
      <c r="J65" s="6">
        <f t="shared" si="33"/>
        <v>0</v>
      </c>
      <c r="K65" s="2"/>
      <c r="L65" s="7">
        <f t="shared" si="34"/>
        <v>-242</v>
      </c>
      <c r="M65" s="2"/>
      <c r="N65" s="6">
        <f t="shared" si="35"/>
        <v>-0.58033573141486805</v>
      </c>
      <c r="O65" s="11"/>
      <c r="P65" s="7">
        <v>375</v>
      </c>
      <c r="Q65" s="2"/>
      <c r="R65" s="6">
        <f t="shared" si="36"/>
        <v>0</v>
      </c>
      <c r="S65" s="2"/>
      <c r="T65" s="7">
        <v>1251</v>
      </c>
      <c r="U65" s="2"/>
      <c r="V65" s="6">
        <f t="shared" si="37"/>
        <v>0</v>
      </c>
      <c r="W65" s="2"/>
      <c r="X65" s="7">
        <f t="shared" si="38"/>
        <v>-876</v>
      </c>
      <c r="Y65" s="2"/>
      <c r="Z65" s="6">
        <f t="shared" si="39"/>
        <v>-0.70023980815347719</v>
      </c>
    </row>
    <row r="66" spans="1:26" s="24" customFormat="1" hidden="1" outlineLevel="2" x14ac:dyDescent="0.25">
      <c r="A66" s="29"/>
      <c r="B66" s="11" t="str">
        <f>CONCATENATE("          ", "6248", " - ", "UNIFORMS")</f>
        <v xml:space="preserve">          6248 - UNIFORMS</v>
      </c>
      <c r="C66" s="11"/>
      <c r="D66" s="7"/>
      <c r="E66" s="2"/>
      <c r="F66" s="6">
        <f t="shared" si="32"/>
        <v>0</v>
      </c>
      <c r="G66" s="2"/>
      <c r="H66" s="7"/>
      <c r="I66" s="2"/>
      <c r="J66" s="6">
        <f t="shared" si="33"/>
        <v>0</v>
      </c>
      <c r="K66" s="2"/>
      <c r="L66" s="7">
        <f t="shared" si="34"/>
        <v>0</v>
      </c>
      <c r="M66" s="2"/>
      <c r="N66" s="6">
        <f t="shared" si="35"/>
        <v>0</v>
      </c>
      <c r="O66" s="11"/>
      <c r="P66" s="7">
        <v>1211.69</v>
      </c>
      <c r="Q66" s="2"/>
      <c r="R66" s="6">
        <f t="shared" si="36"/>
        <v>0</v>
      </c>
      <c r="S66" s="2"/>
      <c r="T66" s="7"/>
      <c r="U66" s="2"/>
      <c r="V66" s="6">
        <f t="shared" si="37"/>
        <v>0</v>
      </c>
      <c r="W66" s="2"/>
      <c r="X66" s="7">
        <f t="shared" si="38"/>
        <v>1211.69</v>
      </c>
      <c r="Y66" s="2"/>
      <c r="Z66" s="6">
        <f t="shared" si="39"/>
        <v>0</v>
      </c>
    </row>
    <row r="67" spans="1:26" s="28" customFormat="1" outlineLevel="1" collapsed="1" x14ac:dyDescent="0.25">
      <c r="A67" s="27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SUM(OSRRefD22_12x_0)</f>
        <v>358.95</v>
      </c>
      <c r="E67" s="1"/>
      <c r="F67" s="5">
        <f t="shared" ref="F67:F70" si="40">IF(D$12=0,0,D67/D$12)</f>
        <v>0</v>
      </c>
      <c r="G67" s="1"/>
      <c r="H67" s="1">
        <f>SUM(OSRRefH22_12x_0)</f>
        <v>283</v>
      </c>
      <c r="I67" s="1"/>
      <c r="J67" s="5">
        <f t="shared" ref="J67:J70" si="41">IF(H$12=0,0,H67/H$12)</f>
        <v>0</v>
      </c>
      <c r="K67" s="1"/>
      <c r="L67" s="1">
        <f t="shared" ref="L67:L70" si="42">+D67-H67</f>
        <v>75.949999999999989</v>
      </c>
      <c r="M67" s="1"/>
      <c r="N67" s="5">
        <f t="shared" ref="N67:N70" si="43">IF(H67=0,0,L67/H67)</f>
        <v>0.2683745583038869</v>
      </c>
      <c r="O67" s="14"/>
      <c r="P67" s="1">
        <f>SUM(OSRRefP22_12x_0)</f>
        <v>1067.3</v>
      </c>
      <c r="Q67" s="1"/>
      <c r="R67" s="5">
        <f t="shared" ref="R67:R70" si="44">IF(P$12=0,0,P67/P$12)</f>
        <v>0</v>
      </c>
      <c r="S67" s="1"/>
      <c r="T67" s="1">
        <f>SUM(OSRRefT22_12x_0)</f>
        <v>849</v>
      </c>
      <c r="U67" s="1"/>
      <c r="V67" s="5">
        <f t="shared" ref="V67:V70" si="45">IF(T$12=0,0,T67/T$12)</f>
        <v>0</v>
      </c>
      <c r="W67" s="1"/>
      <c r="X67" s="1">
        <f t="shared" ref="X67:X70" si="46">+P67-T67</f>
        <v>218.29999999999995</v>
      </c>
      <c r="Y67" s="1"/>
      <c r="Z67" s="5">
        <f t="shared" ref="Z67:Z70" si="47">IF(T67=0,0,X67/T67)</f>
        <v>0.25712603062426381</v>
      </c>
    </row>
    <row r="68" spans="1:26" s="24" customFormat="1" hidden="1" outlineLevel="2" x14ac:dyDescent="0.25">
      <c r="A68" s="29"/>
      <c r="B68" s="11" t="str">
        <f>CONCATENATE("          ", "6309", " - ", "TELEPHONE")</f>
        <v xml:space="preserve">          6309 - TELEPHONE</v>
      </c>
      <c r="C68" s="11"/>
      <c r="D68" s="7">
        <v>358.95</v>
      </c>
      <c r="E68" s="2"/>
      <c r="F68" s="6">
        <f t="shared" si="40"/>
        <v>0</v>
      </c>
      <c r="G68" s="2"/>
      <c r="H68" s="7">
        <v>283</v>
      </c>
      <c r="I68" s="2"/>
      <c r="J68" s="6">
        <f t="shared" si="41"/>
        <v>0</v>
      </c>
      <c r="K68" s="2"/>
      <c r="L68" s="7">
        <f t="shared" si="42"/>
        <v>75.949999999999989</v>
      </c>
      <c r="M68" s="2"/>
      <c r="N68" s="6">
        <f t="shared" si="43"/>
        <v>0.2683745583038869</v>
      </c>
      <c r="O68" s="11"/>
      <c r="P68" s="7">
        <v>1067.3</v>
      </c>
      <c r="Q68" s="2"/>
      <c r="R68" s="6">
        <f t="shared" si="44"/>
        <v>0</v>
      </c>
      <c r="S68" s="2"/>
      <c r="T68" s="7">
        <v>849</v>
      </c>
      <c r="U68" s="2"/>
      <c r="V68" s="6">
        <f t="shared" si="45"/>
        <v>0</v>
      </c>
      <c r="W68" s="2"/>
      <c r="X68" s="7">
        <f t="shared" si="46"/>
        <v>218.29999999999995</v>
      </c>
      <c r="Y68" s="2"/>
      <c r="Z68" s="6">
        <f t="shared" si="47"/>
        <v>0.25712603062426381</v>
      </c>
    </row>
    <row r="69" spans="1:26" s="28" customFormat="1" outlineLevel="1" collapsed="1" x14ac:dyDescent="0.25">
      <c r="A69" s="27"/>
      <c r="B69" s="14" t="str">
        <f>CONCATENATE("     ","Training                                          ")</f>
        <v xml:space="preserve">     Training                                          </v>
      </c>
      <c r="C69" s="14"/>
      <c r="D69" s="1">
        <f>SUM(OSRRefD22_13x_0)</f>
        <v>0</v>
      </c>
      <c r="E69" s="1"/>
      <c r="F69" s="5">
        <f t="shared" si="40"/>
        <v>0</v>
      </c>
      <c r="G69" s="1"/>
      <c r="H69" s="1">
        <f>SUM(OSRRefH22_13x_0)</f>
        <v>333</v>
      </c>
      <c r="I69" s="1"/>
      <c r="J69" s="5">
        <f t="shared" si="41"/>
        <v>0</v>
      </c>
      <c r="K69" s="1"/>
      <c r="L69" s="1">
        <f t="shared" si="42"/>
        <v>-333</v>
      </c>
      <c r="M69" s="1"/>
      <c r="N69" s="5">
        <f t="shared" si="43"/>
        <v>-1</v>
      </c>
      <c r="O69" s="14"/>
      <c r="P69" s="1">
        <f>SUM(OSRRefP22_13x_0)</f>
        <v>0</v>
      </c>
      <c r="Q69" s="1"/>
      <c r="R69" s="5">
        <f t="shared" si="44"/>
        <v>0</v>
      </c>
      <c r="S69" s="1"/>
      <c r="T69" s="1">
        <f>SUM(OSRRefT22_13x_0)</f>
        <v>999</v>
      </c>
      <c r="U69" s="1"/>
      <c r="V69" s="5">
        <f t="shared" si="45"/>
        <v>0</v>
      </c>
      <c r="W69" s="1"/>
      <c r="X69" s="1">
        <f t="shared" si="46"/>
        <v>-999</v>
      </c>
      <c r="Y69" s="1"/>
      <c r="Z69" s="5">
        <f t="shared" si="47"/>
        <v>-1</v>
      </c>
    </row>
    <row r="70" spans="1:26" s="24" customFormat="1" hidden="1" outlineLevel="2" x14ac:dyDescent="0.25">
      <c r="A70" s="29"/>
      <c r="B70" s="11" t="str">
        <f>CONCATENATE("          ", "6376", " - ", "TRAINING")</f>
        <v xml:space="preserve">          6376 - TRAINING</v>
      </c>
      <c r="C70" s="11"/>
      <c r="D70" s="7"/>
      <c r="E70" s="2"/>
      <c r="F70" s="6">
        <f t="shared" si="40"/>
        <v>0</v>
      </c>
      <c r="G70" s="2"/>
      <c r="H70" s="7">
        <v>333</v>
      </c>
      <c r="I70" s="2"/>
      <c r="J70" s="6">
        <f t="shared" si="41"/>
        <v>0</v>
      </c>
      <c r="K70" s="2"/>
      <c r="L70" s="7">
        <f t="shared" si="42"/>
        <v>-333</v>
      </c>
      <c r="M70" s="2"/>
      <c r="N70" s="6">
        <f t="shared" si="43"/>
        <v>-1</v>
      </c>
      <c r="O70" s="11"/>
      <c r="P70" s="7"/>
      <c r="Q70" s="2"/>
      <c r="R70" s="6">
        <f t="shared" si="44"/>
        <v>0</v>
      </c>
      <c r="S70" s="2"/>
      <c r="T70" s="7">
        <v>999</v>
      </c>
      <c r="U70" s="2"/>
      <c r="V70" s="6">
        <f t="shared" si="45"/>
        <v>0</v>
      </c>
      <c r="W70" s="2"/>
      <c r="X70" s="7">
        <f t="shared" si="46"/>
        <v>-999</v>
      </c>
      <c r="Y70" s="2"/>
      <c r="Z70" s="6">
        <f t="shared" si="47"/>
        <v>-1</v>
      </c>
    </row>
    <row r="71" spans="1:26" s="58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6" t="s">
        <v>293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5" t="s">
        <v>277</v>
      </c>
      <c r="C74" s="25"/>
      <c r="D74" s="21">
        <f>+D16-D18+D72</f>
        <v>-47199.599999999991</v>
      </c>
      <c r="E74" s="13"/>
      <c r="F74" s="20">
        <f>IF(D$12=0,0,D74/D$12)</f>
        <v>0</v>
      </c>
      <c r="G74" s="13"/>
      <c r="H74" s="21">
        <f>+H16-H18+H72</f>
        <v>-46349.26516968615</v>
      </c>
      <c r="I74" s="13"/>
      <c r="J74" s="20">
        <f>IF(H$12=0,0,H74/H$12)</f>
        <v>0</v>
      </c>
      <c r="K74" s="16"/>
      <c r="L74" s="21">
        <f>+D74-H74</f>
        <v>-850.33483031384094</v>
      </c>
      <c r="M74" s="16"/>
      <c r="N74" s="20">
        <f>IF(H74=0,0,L74/H74)</f>
        <v>1.8346241891877633E-2</v>
      </c>
      <c r="O74" s="26"/>
      <c r="P74" s="21">
        <f>+P16-P18+P72</f>
        <v>-153727.94999999995</v>
      </c>
      <c r="Q74" s="13"/>
      <c r="R74" s="20">
        <f>IF(P$12=0,0,P74/P$12)</f>
        <v>0</v>
      </c>
      <c r="S74" s="13"/>
      <c r="T74" s="21">
        <f>+T16-T18+T72</f>
        <v>-146941.36180148</v>
      </c>
      <c r="U74" s="13"/>
      <c r="V74" s="20">
        <f>IF(T$12=0,0,T74/T$12)</f>
        <v>0</v>
      </c>
      <c r="W74" s="16"/>
      <c r="X74" s="21">
        <f>+P74-T74</f>
        <v>-6786.5881985199521</v>
      </c>
      <c r="Y74" s="16"/>
      <c r="Z74" s="20">
        <f>IF(T74=0,0,X74/T74)</f>
        <v>4.6185690096493967E-2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128</v>
      </c>
      <c r="C76" s="10"/>
      <c r="D76" s="4"/>
      <c r="E76" s="4"/>
      <c r="F76" s="12">
        <f>IF(D$12=0,0,D76/D$12)</f>
        <v>0</v>
      </c>
      <c r="G76" s="4"/>
      <c r="H76" s="4"/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/>
      <c r="Q76" s="4"/>
      <c r="R76" s="12">
        <f>IF(P$12=0,0,P76/P$12)</f>
        <v>0</v>
      </c>
      <c r="S76" s="4"/>
      <c r="T76" s="4"/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5" t="s">
        <v>126</v>
      </c>
      <c r="C78" s="25"/>
      <c r="D78" s="33">
        <f>+D74-D76</f>
        <v>-47199.599999999991</v>
      </c>
      <c r="E78" s="13"/>
      <c r="F78" s="31">
        <f>IF(D$12=0,0,D78/D$12)</f>
        <v>0</v>
      </c>
      <c r="G78" s="13"/>
      <c r="H78" s="33">
        <f>+H74-H76</f>
        <v>-46349.26516968615</v>
      </c>
      <c r="I78" s="13"/>
      <c r="J78" s="31">
        <f>IF(H$12=0,0,H78/H$12)</f>
        <v>0</v>
      </c>
      <c r="K78" s="16"/>
      <c r="L78" s="33">
        <f>D78-H78</f>
        <v>-850.33483031384094</v>
      </c>
      <c r="M78" s="16"/>
      <c r="N78" s="31">
        <f>IF(H78=0,0,L78/H78)</f>
        <v>1.8346241891877633E-2</v>
      </c>
      <c r="O78" s="26"/>
      <c r="P78" s="33">
        <f>+P74-P76</f>
        <v>-153727.94999999995</v>
      </c>
      <c r="Q78" s="13"/>
      <c r="R78" s="31">
        <f>IF(P$12=0,0,P78/P$12)</f>
        <v>0</v>
      </c>
      <c r="S78" s="13"/>
      <c r="T78" s="33">
        <f>+T74-T76</f>
        <v>-146941.36180148</v>
      </c>
      <c r="U78" s="13"/>
      <c r="V78" s="31">
        <f>IF(T$12=0,0,T78/T$12)</f>
        <v>0</v>
      </c>
      <c r="W78" s="16"/>
      <c r="X78" s="33">
        <f>P78-T78</f>
        <v>-6786.5881985199521</v>
      </c>
      <c r="Y78" s="16"/>
      <c r="Z78" s="31">
        <f>IF(T78=0,0,X78/T78)</f>
        <v>4.6185690096493967E-2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5" t="s">
        <v>294</v>
      </c>
      <c r="C81" s="25"/>
      <c r="D81" s="35">
        <f>SUM(D78:D80)</f>
        <v>-47199.599999999991</v>
      </c>
      <c r="E81" s="13"/>
      <c r="F81" s="34">
        <f>IF(D$12=0,0,D81/D$12)</f>
        <v>0</v>
      </c>
      <c r="G81" s="13"/>
      <c r="H81" s="35">
        <f>SUM(H78:H80)</f>
        <v>-46349.26516968615</v>
      </c>
      <c r="I81" s="13"/>
      <c r="J81" s="34">
        <f>IF(H$12=0,0,H81/H$12)</f>
        <v>0</v>
      </c>
      <c r="K81" s="16"/>
      <c r="L81" s="35">
        <f>+D81-H81</f>
        <v>-850.33483031384094</v>
      </c>
      <c r="M81" s="16"/>
      <c r="N81" s="34">
        <f>IF(H81=0,0,L81/H81)</f>
        <v>1.8346241891877633E-2</v>
      </c>
      <c r="O81" s="26"/>
      <c r="P81" s="35">
        <f>SUM(P78:P80)</f>
        <v>-153727.94999999995</v>
      </c>
      <c r="Q81" s="13"/>
      <c r="R81" s="34">
        <f>IF(P$12=0,0,P81/P$12)</f>
        <v>0</v>
      </c>
      <c r="S81" s="13"/>
      <c r="T81" s="35">
        <f>SUM(T78:T80)</f>
        <v>-146941.36180148</v>
      </c>
      <c r="U81" s="13"/>
      <c r="V81" s="34">
        <f>IF(T$12=0,0,T81/T$12)</f>
        <v>0</v>
      </c>
      <c r="W81" s="16"/>
      <c r="X81" s="35">
        <f>+P81-T81</f>
        <v>-6786.5881985199521</v>
      </c>
      <c r="Y81" s="16"/>
      <c r="Z81" s="34">
        <f>IF(T81=0,0,X81/T81)</f>
        <v>4.6185690096493967E-2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6" x14ac:dyDescent="0.25">
      <c r="A83" s="9"/>
      <c r="B83" s="61">
        <v>44481.978956793981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25">
      <c r="A84" s="9"/>
      <c r="B84" s="56" t="s">
        <v>56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4"/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","204", " - ", "Information Technology")</f>
        <v>Department 204 - Information Technology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108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295</v>
      </c>
      <c r="C18" s="10"/>
      <c r="D18" s="22">
        <f>SUM(OSRRefD22x_0)</f>
        <v>42220.380000000005</v>
      </c>
      <c r="E18" s="22"/>
      <c r="F18" s="32">
        <f t="shared" ref="F18:F28" si="0">IF(D$12=0,0,D18/D$12)</f>
        <v>0</v>
      </c>
      <c r="G18" s="22"/>
      <c r="H18" s="22">
        <f>SUM(OSRRefH22x_0)</f>
        <v>49159.666047384599</v>
      </c>
      <c r="I18" s="22"/>
      <c r="J18" s="32">
        <f t="shared" ref="J18:J28" si="1">IF(H$12=0,0,H18/H$12)</f>
        <v>0</v>
      </c>
      <c r="K18" s="4"/>
      <c r="L18" s="22">
        <f t="shared" ref="L18:L28" si="2">+D18-H18</f>
        <v>-6939.286047384594</v>
      </c>
      <c r="M18" s="4"/>
      <c r="N18" s="32">
        <f t="shared" ref="N18:N28" si="3">IF(H18=0,0,L18/H18)</f>
        <v>-0.14115812016899937</v>
      </c>
      <c r="O18" s="10"/>
      <c r="P18" s="22">
        <f>SUM(OSRRefP22x_0)</f>
        <v>133309.49000000002</v>
      </c>
      <c r="Q18" s="22"/>
      <c r="R18" s="32">
        <f t="shared" ref="R18:R28" si="4">IF(P$12=0,0,P18/P$12)</f>
        <v>0</v>
      </c>
      <c r="S18" s="22"/>
      <c r="T18" s="22">
        <f>SUM(OSRRefT22x_0)</f>
        <v>157310.41465399993</v>
      </c>
      <c r="U18" s="22"/>
      <c r="V18" s="32">
        <f t="shared" ref="V18:V28" si="5">IF(T$12=0,0,T18/T$12)</f>
        <v>0</v>
      </c>
      <c r="W18" s="4"/>
      <c r="X18" s="22">
        <f t="shared" ref="X18:X28" si="6">+P18-T18</f>
        <v>-24000.924653999915</v>
      </c>
      <c r="Y18" s="4"/>
      <c r="Z18" s="32">
        <f t="shared" ref="Z18:Z28" si="7">IF(T18=0,0,X18/T18)</f>
        <v>-0.15257047479525948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10752.920000000002</v>
      </c>
      <c r="E19" s="1"/>
      <c r="F19" s="5">
        <f t="shared" si="0"/>
        <v>0</v>
      </c>
      <c r="G19" s="1"/>
      <c r="H19" s="1">
        <f>SUM(OSRRefH22_0x_0)</f>
        <v>11122.496816615394</v>
      </c>
      <c r="I19" s="1"/>
      <c r="J19" s="5">
        <f t="shared" si="1"/>
        <v>0</v>
      </c>
      <c r="K19" s="1"/>
      <c r="L19" s="1">
        <f t="shared" si="2"/>
        <v>-369.57681661539209</v>
      </c>
      <c r="M19" s="1"/>
      <c r="N19" s="5">
        <f t="shared" si="3"/>
        <v>-3.322786445425617E-2</v>
      </c>
      <c r="O19" s="14"/>
      <c r="P19" s="1">
        <f>SUM(OSRRefP22_0x_0)</f>
        <v>32293.09</v>
      </c>
      <c r="Q19" s="1"/>
      <c r="R19" s="5">
        <f t="shared" si="4"/>
        <v>0</v>
      </c>
      <c r="S19" s="1"/>
      <c r="T19" s="1">
        <f>SUM(OSRRefT22_0x_0)</f>
        <v>34739.114654000034</v>
      </c>
      <c r="U19" s="1"/>
      <c r="V19" s="5">
        <f t="shared" si="5"/>
        <v>0</v>
      </c>
      <c r="W19" s="1"/>
      <c r="X19" s="1">
        <f t="shared" si="6"/>
        <v>-2446.0246540000335</v>
      </c>
      <c r="Y19" s="1"/>
      <c r="Z19" s="5">
        <f t="shared" si="7"/>
        <v>-7.041125481643172E-2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1417.14</v>
      </c>
      <c r="E20" s="2"/>
      <c r="F20" s="6">
        <f t="shared" si="0"/>
        <v>0</v>
      </c>
      <c r="G20" s="2"/>
      <c r="H20" s="7">
        <v>1810.8128289230799</v>
      </c>
      <c r="I20" s="2"/>
      <c r="J20" s="6">
        <f t="shared" si="1"/>
        <v>0</v>
      </c>
      <c r="K20" s="2"/>
      <c r="L20" s="7">
        <f t="shared" si="2"/>
        <v>-393.67282892307981</v>
      </c>
      <c r="M20" s="2"/>
      <c r="N20" s="6">
        <f t="shared" si="3"/>
        <v>-0.21740117069813533</v>
      </c>
      <c r="O20" s="11"/>
      <c r="P20" s="7">
        <v>4234.2</v>
      </c>
      <c r="Q20" s="2"/>
      <c r="R20" s="6">
        <f t="shared" si="4"/>
        <v>0</v>
      </c>
      <c r="S20" s="2"/>
      <c r="T20" s="7">
        <v>5885.1416940000099</v>
      </c>
      <c r="U20" s="2"/>
      <c r="V20" s="6">
        <f t="shared" si="5"/>
        <v>0</v>
      </c>
      <c r="W20" s="2"/>
      <c r="X20" s="7">
        <f t="shared" si="6"/>
        <v>-1650.9416940000101</v>
      </c>
      <c r="Y20" s="2"/>
      <c r="Z20" s="6">
        <f t="shared" si="7"/>
        <v>-0.280527093456929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238.97</v>
      </c>
      <c r="E21" s="2"/>
      <c r="F21" s="6">
        <f t="shared" si="0"/>
        <v>0</v>
      </c>
      <c r="G21" s="2"/>
      <c r="H21" s="7">
        <v>73.350578461538504</v>
      </c>
      <c r="I21" s="2"/>
      <c r="J21" s="6">
        <f t="shared" si="1"/>
        <v>0</v>
      </c>
      <c r="K21" s="2"/>
      <c r="L21" s="7">
        <f t="shared" si="2"/>
        <v>165.61942153846149</v>
      </c>
      <c r="M21" s="2"/>
      <c r="N21" s="6">
        <f t="shared" si="3"/>
        <v>2.2579156839956527</v>
      </c>
      <c r="O21" s="11"/>
      <c r="P21" s="7">
        <v>714.01</v>
      </c>
      <c r="Q21" s="2"/>
      <c r="R21" s="6">
        <f t="shared" si="4"/>
        <v>0</v>
      </c>
      <c r="S21" s="2"/>
      <c r="T21" s="7">
        <v>238.38937999999999</v>
      </c>
      <c r="U21" s="2"/>
      <c r="V21" s="6">
        <f t="shared" si="5"/>
        <v>0</v>
      </c>
      <c r="W21" s="2"/>
      <c r="X21" s="7">
        <f t="shared" si="6"/>
        <v>475.62062000000003</v>
      </c>
      <c r="Y21" s="2"/>
      <c r="Z21" s="6">
        <f t="shared" si="7"/>
        <v>1.9951418137838191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4867.0200000000004</v>
      </c>
      <c r="E22" s="2"/>
      <c r="F22" s="6">
        <f t="shared" si="0"/>
        <v>0</v>
      </c>
      <c r="G22" s="2"/>
      <c r="H22" s="7">
        <v>5336</v>
      </c>
      <c r="I22" s="2"/>
      <c r="J22" s="6">
        <f t="shared" si="1"/>
        <v>0</v>
      </c>
      <c r="K22" s="2"/>
      <c r="L22" s="7">
        <f t="shared" si="2"/>
        <v>-468.97999999999956</v>
      </c>
      <c r="M22" s="2"/>
      <c r="N22" s="6">
        <f t="shared" si="3"/>
        <v>-8.7889805097451187E-2</v>
      </c>
      <c r="O22" s="11"/>
      <c r="P22" s="7">
        <v>14533.56</v>
      </c>
      <c r="Q22" s="2"/>
      <c r="R22" s="6">
        <f t="shared" si="4"/>
        <v>0</v>
      </c>
      <c r="S22" s="2"/>
      <c r="T22" s="7">
        <v>16008</v>
      </c>
      <c r="U22" s="2"/>
      <c r="V22" s="6">
        <f t="shared" si="5"/>
        <v>0</v>
      </c>
      <c r="W22" s="2"/>
      <c r="X22" s="7">
        <f t="shared" si="6"/>
        <v>-1474.4400000000005</v>
      </c>
      <c r="Y22" s="2"/>
      <c r="Z22" s="6">
        <f t="shared" si="7"/>
        <v>-9.2106446776611728E-2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48.16</v>
      </c>
      <c r="E23" s="2"/>
      <c r="F23" s="6">
        <f t="shared" si="0"/>
        <v>0</v>
      </c>
      <c r="G23" s="2"/>
      <c r="H23" s="7">
        <v>49.6891015384615</v>
      </c>
      <c r="I23" s="2"/>
      <c r="J23" s="6">
        <f t="shared" si="1"/>
        <v>0</v>
      </c>
      <c r="K23" s="2"/>
      <c r="L23" s="7">
        <f t="shared" si="2"/>
        <v>-1.5291015384615037</v>
      </c>
      <c r="M23" s="2"/>
      <c r="N23" s="6">
        <f t="shared" si="3"/>
        <v>-3.0773378691057902E-2</v>
      </c>
      <c r="O23" s="11"/>
      <c r="P23" s="7">
        <v>143.9</v>
      </c>
      <c r="Q23" s="2"/>
      <c r="R23" s="6">
        <f t="shared" si="4"/>
        <v>0</v>
      </c>
      <c r="S23" s="2"/>
      <c r="T23" s="7">
        <v>161.48957999999999</v>
      </c>
      <c r="U23" s="2"/>
      <c r="V23" s="6">
        <f t="shared" si="5"/>
        <v>0</v>
      </c>
      <c r="W23" s="2"/>
      <c r="X23" s="7">
        <f t="shared" si="6"/>
        <v>-17.589579999999984</v>
      </c>
      <c r="Y23" s="2"/>
      <c r="Z23" s="6">
        <f t="shared" si="7"/>
        <v>-0.10892083563533934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1834.11</v>
      </c>
      <c r="E24" s="2"/>
      <c r="F24" s="6">
        <f t="shared" si="0"/>
        <v>0</v>
      </c>
      <c r="G24" s="2"/>
      <c r="H24" s="7">
        <v>1567.18461538462</v>
      </c>
      <c r="I24" s="2"/>
      <c r="J24" s="6">
        <f t="shared" si="1"/>
        <v>0</v>
      </c>
      <c r="K24" s="2"/>
      <c r="L24" s="7">
        <f t="shared" si="2"/>
        <v>266.92538461537993</v>
      </c>
      <c r="M24" s="2"/>
      <c r="N24" s="6">
        <f t="shared" si="3"/>
        <v>0.17032159580629294</v>
      </c>
      <c r="O24" s="11"/>
      <c r="P24" s="7">
        <v>5502.33</v>
      </c>
      <c r="Q24" s="2"/>
      <c r="R24" s="6">
        <f t="shared" si="4"/>
        <v>0</v>
      </c>
      <c r="S24" s="2"/>
      <c r="T24" s="7">
        <v>5093.3500000000104</v>
      </c>
      <c r="U24" s="2"/>
      <c r="V24" s="6">
        <f t="shared" si="5"/>
        <v>0</v>
      </c>
      <c r="W24" s="2"/>
      <c r="X24" s="7">
        <f t="shared" si="6"/>
        <v>408.97999999998956</v>
      </c>
      <c r="Y24" s="2"/>
      <c r="Z24" s="6">
        <f t="shared" si="7"/>
        <v>8.0296857667348356E-2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1324.09</v>
      </c>
      <c r="E26" s="2"/>
      <c r="F26" s="6">
        <f t="shared" si="0"/>
        <v>0</v>
      </c>
      <c r="G26" s="2"/>
      <c r="H26" s="7">
        <v>911.15384615384596</v>
      </c>
      <c r="I26" s="2"/>
      <c r="J26" s="6">
        <f t="shared" si="1"/>
        <v>0</v>
      </c>
      <c r="K26" s="2"/>
      <c r="L26" s="7">
        <f t="shared" si="2"/>
        <v>412.93615384615396</v>
      </c>
      <c r="M26" s="2"/>
      <c r="N26" s="6">
        <f t="shared" si="3"/>
        <v>0.45320135078092044</v>
      </c>
      <c r="O26" s="11"/>
      <c r="P26" s="7">
        <v>4064.19</v>
      </c>
      <c r="Q26" s="2"/>
      <c r="R26" s="6">
        <f t="shared" si="4"/>
        <v>0</v>
      </c>
      <c r="S26" s="2"/>
      <c r="T26" s="7">
        <v>2961.25</v>
      </c>
      <c r="U26" s="2"/>
      <c r="V26" s="6">
        <f t="shared" si="5"/>
        <v>0</v>
      </c>
      <c r="W26" s="2"/>
      <c r="X26" s="7">
        <f t="shared" si="6"/>
        <v>1102.94</v>
      </c>
      <c r="Y26" s="2"/>
      <c r="Z26" s="6">
        <f t="shared" si="7"/>
        <v>0.37245757703672439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844.06</v>
      </c>
      <c r="E27" s="2"/>
      <c r="F27" s="6">
        <f t="shared" si="0"/>
        <v>0</v>
      </c>
      <c r="G27" s="2"/>
      <c r="H27" s="7">
        <v>1074.3058461538501</v>
      </c>
      <c r="I27" s="2"/>
      <c r="J27" s="6">
        <f t="shared" si="1"/>
        <v>0</v>
      </c>
      <c r="K27" s="2"/>
      <c r="L27" s="7">
        <f t="shared" si="2"/>
        <v>-230.24584615385015</v>
      </c>
      <c r="M27" s="2"/>
      <c r="N27" s="6">
        <f t="shared" si="3"/>
        <v>-0.21432057451624154</v>
      </c>
      <c r="O27" s="11"/>
      <c r="P27" s="7">
        <v>2532.1799999999998</v>
      </c>
      <c r="Q27" s="2"/>
      <c r="R27" s="6">
        <f t="shared" si="4"/>
        <v>0</v>
      </c>
      <c r="S27" s="2"/>
      <c r="T27" s="7">
        <v>3491.4940000000101</v>
      </c>
      <c r="U27" s="2"/>
      <c r="V27" s="6">
        <f t="shared" si="5"/>
        <v>0</v>
      </c>
      <c r="W27" s="2"/>
      <c r="X27" s="7">
        <f t="shared" si="6"/>
        <v>-959.31400000001031</v>
      </c>
      <c r="Y27" s="2"/>
      <c r="Z27" s="6">
        <f t="shared" si="7"/>
        <v>-0.274757453399607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179.37</v>
      </c>
      <c r="E28" s="2"/>
      <c r="F28" s="6">
        <f t="shared" si="0"/>
        <v>0</v>
      </c>
      <c r="G28" s="2"/>
      <c r="H28" s="7">
        <v>300</v>
      </c>
      <c r="I28" s="2"/>
      <c r="J28" s="6">
        <f t="shared" si="1"/>
        <v>0</v>
      </c>
      <c r="K28" s="2"/>
      <c r="L28" s="7">
        <f t="shared" si="2"/>
        <v>-120.63</v>
      </c>
      <c r="M28" s="2"/>
      <c r="N28" s="6">
        <f t="shared" si="3"/>
        <v>-0.40209999999999996</v>
      </c>
      <c r="O28" s="11"/>
      <c r="P28" s="7">
        <v>568.72</v>
      </c>
      <c r="Q28" s="2"/>
      <c r="R28" s="6">
        <f t="shared" si="4"/>
        <v>0</v>
      </c>
      <c r="S28" s="2"/>
      <c r="T28" s="7">
        <v>900</v>
      </c>
      <c r="U28" s="2"/>
      <c r="V28" s="6">
        <f t="shared" si="5"/>
        <v>0</v>
      </c>
      <c r="W28" s="2"/>
      <c r="X28" s="7">
        <f t="shared" si="6"/>
        <v>-331.28</v>
      </c>
      <c r="Y28" s="2"/>
      <c r="Z28" s="6">
        <f t="shared" si="7"/>
        <v>-0.36808888888888885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16172.63</v>
      </c>
      <c r="E29" s="1"/>
      <c r="F29" s="5">
        <f t="shared" ref="F29:F39" si="8">IF(D$12=0,0,D29/D$12)</f>
        <v>0</v>
      </c>
      <c r="G29" s="1"/>
      <c r="H29" s="1">
        <f>SUM(OSRRefH22_1x_0)</f>
        <v>21839.169230769199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-5666.5392307692</v>
      </c>
      <c r="M29" s="1"/>
      <c r="N29" s="5">
        <f t="shared" ref="N29:N39" si="11">IF(H29=0,0,L29/H29)</f>
        <v>-0.25946679431311032</v>
      </c>
      <c r="O29" s="14"/>
      <c r="P29" s="1">
        <f>SUM(OSRRefP22_1x_0)</f>
        <v>55079.040000000001</v>
      </c>
      <c r="Q29" s="1"/>
      <c r="R29" s="5">
        <f t="shared" ref="R29:R39" si="12">IF(P$12=0,0,P29/P$12)</f>
        <v>0</v>
      </c>
      <c r="S29" s="1"/>
      <c r="T29" s="1">
        <f>SUM(OSRRefT22_1x_0)</f>
        <v>70977.299999999901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-15898.2599999999</v>
      </c>
      <c r="Y29" s="1"/>
      <c r="Z29" s="5">
        <f t="shared" ref="Z29:Z39" si="15">IF(T29=0,0,X29/T29)</f>
        <v>-0.22399076887962663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7">
        <v>16172.63</v>
      </c>
      <c r="E31" s="2"/>
      <c r="F31" s="6">
        <f t="shared" si="8"/>
        <v>0</v>
      </c>
      <c r="G31" s="2"/>
      <c r="H31" s="7">
        <v>16400.769230769201</v>
      </c>
      <c r="I31" s="2"/>
      <c r="J31" s="6">
        <f t="shared" si="9"/>
        <v>0</v>
      </c>
      <c r="K31" s="2"/>
      <c r="L31" s="7">
        <f t="shared" si="10"/>
        <v>-228.13923076920219</v>
      </c>
      <c r="M31" s="2"/>
      <c r="N31" s="6">
        <f t="shared" si="11"/>
        <v>-1.3910276253457313E-2</v>
      </c>
      <c r="O31" s="11"/>
      <c r="P31" s="7">
        <v>55079.040000000001</v>
      </c>
      <c r="Q31" s="2"/>
      <c r="R31" s="6">
        <f t="shared" si="12"/>
        <v>0</v>
      </c>
      <c r="S31" s="2"/>
      <c r="T31" s="7">
        <v>53302.499999999898</v>
      </c>
      <c r="U31" s="2"/>
      <c r="V31" s="6">
        <f t="shared" si="13"/>
        <v>0</v>
      </c>
      <c r="W31" s="2"/>
      <c r="X31" s="7">
        <f t="shared" si="14"/>
        <v>1776.5400000001027</v>
      </c>
      <c r="Y31" s="2"/>
      <c r="Z31" s="6">
        <f t="shared" si="15"/>
        <v>3.332939355565135E-2</v>
      </c>
    </row>
    <row r="32" spans="1:26" s="24" customFormat="1" hidden="1" outlineLevel="2" x14ac:dyDescent="0.25">
      <c r="A32" s="29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5438.4</v>
      </c>
      <c r="I33" s="2"/>
      <c r="J33" s="6">
        <f t="shared" si="9"/>
        <v>0</v>
      </c>
      <c r="K33" s="2"/>
      <c r="L33" s="7">
        <f t="shared" si="10"/>
        <v>-5438.4</v>
      </c>
      <c r="M33" s="2"/>
      <c r="N33" s="6">
        <f t="shared" si="11"/>
        <v>-1</v>
      </c>
      <c r="O33" s="11"/>
      <c r="P33" s="7"/>
      <c r="Q33" s="2"/>
      <c r="R33" s="6">
        <f t="shared" si="12"/>
        <v>0</v>
      </c>
      <c r="S33" s="2"/>
      <c r="T33" s="7">
        <v>17674.8</v>
      </c>
      <c r="U33" s="2"/>
      <c r="V33" s="6">
        <f t="shared" si="13"/>
        <v>0</v>
      </c>
      <c r="W33" s="2"/>
      <c r="X33" s="7">
        <f t="shared" si="14"/>
        <v>-17674.8</v>
      </c>
      <c r="Y33" s="2"/>
      <c r="Z33" s="6">
        <f t="shared" si="15"/>
        <v>-1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9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9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25">
      <c r="A40" s="27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44" si="16">IF(D$12=0,0,D40/D$12)</f>
        <v>0</v>
      </c>
      <c r="G40" s="1"/>
      <c r="H40" s="1">
        <f>SUM(OSRRefH22_2x_0)</f>
        <v>0</v>
      </c>
      <c r="I40" s="1"/>
      <c r="J40" s="5">
        <f t="shared" ref="J40:J44" si="17">IF(H$12=0,0,H40/H$12)</f>
        <v>0</v>
      </c>
      <c r="K40" s="1"/>
      <c r="L40" s="1">
        <f t="shared" ref="L40:L44" si="18">+D40-H40</f>
        <v>0</v>
      </c>
      <c r="M40" s="1"/>
      <c r="N40" s="5">
        <f t="shared" ref="N40:N44" si="19">IF(H40=0,0,L40/H40)</f>
        <v>0</v>
      </c>
      <c r="O40" s="14"/>
      <c r="P40" s="1">
        <f>SUM(OSRRefP22_2x_0)</f>
        <v>0</v>
      </c>
      <c r="Q40" s="1"/>
      <c r="R40" s="5">
        <f t="shared" ref="R40:R44" si="20">IF(P$12=0,0,P40/P$12)</f>
        <v>0</v>
      </c>
      <c r="S40" s="1"/>
      <c r="T40" s="1">
        <f>SUM(OSRRefT22_2x_0)</f>
        <v>0</v>
      </c>
      <c r="U40" s="1"/>
      <c r="V40" s="5">
        <f t="shared" ref="V40:V44" si="21">IF(T$12=0,0,T40/T$12)</f>
        <v>0</v>
      </c>
      <c r="W40" s="1"/>
      <c r="X40" s="1">
        <f t="shared" ref="X40:X44" si="22">+P40-T40</f>
        <v>0</v>
      </c>
      <c r="Y40" s="1"/>
      <c r="Z40" s="5">
        <f t="shared" ref="Z40:Z44" si="23">IF(T40=0,0,X40/T40)</f>
        <v>0</v>
      </c>
    </row>
    <row r="41" spans="1:26" s="24" customFormat="1" hidden="1" outlineLevel="2" x14ac:dyDescent="0.25">
      <c r="A41" s="29"/>
      <c r="B41" s="11" t="str">
        <f>CONCATENATE("          ", "6362", " - ", "ADVERTISING EXPENSE")</f>
        <v xml:space="preserve">          6362 - ADVERTISING EXPENSE</v>
      </c>
      <c r="C41" s="11"/>
      <c r="D41" s="7"/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/>
      <c r="Q41" s="2"/>
      <c r="R41" s="6">
        <f t="shared" si="20"/>
        <v>0</v>
      </c>
      <c r="S41" s="2"/>
      <c r="T41" s="7">
        <v>0</v>
      </c>
      <c r="U41" s="2"/>
      <c r="V41" s="6">
        <f t="shared" si="21"/>
        <v>0</v>
      </c>
      <c r="W41" s="2"/>
      <c r="X41" s="7">
        <f t="shared" si="22"/>
        <v>0</v>
      </c>
      <c r="Y41" s="2"/>
      <c r="Z41" s="6">
        <f t="shared" si="23"/>
        <v>0</v>
      </c>
    </row>
    <row r="42" spans="1:26" s="28" customFormat="1" outlineLevel="1" collapsed="1" x14ac:dyDescent="0.25">
      <c r="A42" s="27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5098.3599999999997</v>
      </c>
      <c r="E42" s="1"/>
      <c r="F42" s="5">
        <f t="shared" si="16"/>
        <v>0</v>
      </c>
      <c r="G42" s="1"/>
      <c r="H42" s="1">
        <f>SUM(OSRRefH22_3x_0)</f>
        <v>5056</v>
      </c>
      <c r="I42" s="1"/>
      <c r="J42" s="5">
        <f t="shared" si="17"/>
        <v>0</v>
      </c>
      <c r="K42" s="1"/>
      <c r="L42" s="1">
        <f t="shared" si="18"/>
        <v>42.359999999999673</v>
      </c>
      <c r="M42" s="1"/>
      <c r="N42" s="5">
        <f t="shared" si="19"/>
        <v>8.3781645569619614E-3</v>
      </c>
      <c r="O42" s="14"/>
      <c r="P42" s="1">
        <f>SUM(OSRRefP22_3x_0)</f>
        <v>15295.1</v>
      </c>
      <c r="Q42" s="1"/>
      <c r="R42" s="5">
        <f t="shared" si="20"/>
        <v>0</v>
      </c>
      <c r="S42" s="1"/>
      <c r="T42" s="1">
        <f>SUM(OSRRefT22_3x_0)</f>
        <v>15168</v>
      </c>
      <c r="U42" s="1"/>
      <c r="V42" s="5">
        <f t="shared" si="21"/>
        <v>0</v>
      </c>
      <c r="W42" s="1"/>
      <c r="X42" s="1">
        <f t="shared" si="22"/>
        <v>127.10000000000036</v>
      </c>
      <c r="Y42" s="1"/>
      <c r="Z42" s="5">
        <f t="shared" si="23"/>
        <v>8.3794831223628925E-3</v>
      </c>
    </row>
    <row r="43" spans="1:26" s="24" customFormat="1" hidden="1" outlineLevel="2" x14ac:dyDescent="0.25">
      <c r="A43" s="29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5098.3599999999997</v>
      </c>
      <c r="E43" s="2"/>
      <c r="F43" s="6">
        <f t="shared" si="16"/>
        <v>0</v>
      </c>
      <c r="G43" s="2"/>
      <c r="H43" s="7">
        <v>4556</v>
      </c>
      <c r="I43" s="2"/>
      <c r="J43" s="6">
        <f t="shared" si="17"/>
        <v>0</v>
      </c>
      <c r="K43" s="2"/>
      <c r="L43" s="7">
        <f t="shared" si="18"/>
        <v>542.35999999999967</v>
      </c>
      <c r="M43" s="2"/>
      <c r="N43" s="6">
        <f t="shared" si="19"/>
        <v>0.11904302019315181</v>
      </c>
      <c r="O43" s="11"/>
      <c r="P43" s="7">
        <v>15295.1</v>
      </c>
      <c r="Q43" s="2"/>
      <c r="R43" s="6">
        <f t="shared" si="20"/>
        <v>0</v>
      </c>
      <c r="S43" s="2"/>
      <c r="T43" s="7">
        <v>13668</v>
      </c>
      <c r="U43" s="2"/>
      <c r="V43" s="6">
        <f t="shared" si="21"/>
        <v>0</v>
      </c>
      <c r="W43" s="2"/>
      <c r="X43" s="7">
        <f t="shared" si="22"/>
        <v>1627.1000000000004</v>
      </c>
      <c r="Y43" s="2"/>
      <c r="Z43" s="6">
        <f t="shared" si="23"/>
        <v>0.11904448346502783</v>
      </c>
    </row>
    <row r="44" spans="1:26" s="24" customFormat="1" hidden="1" outlineLevel="2" x14ac:dyDescent="0.25">
      <c r="A44" s="29"/>
      <c r="B44" s="11" t="str">
        <f>CONCATENATE("          ", "6324", " - ", "FURNITURE + FIXT DEPRECIATION")</f>
        <v xml:space="preserve">          6324 - FURNITURE + FIXT DEPRECIATION</v>
      </c>
      <c r="C44" s="11"/>
      <c r="D44" s="7"/>
      <c r="E44" s="2"/>
      <c r="F44" s="6">
        <f t="shared" si="16"/>
        <v>0</v>
      </c>
      <c r="G44" s="2"/>
      <c r="H44" s="7">
        <v>500</v>
      </c>
      <c r="I44" s="2"/>
      <c r="J44" s="6">
        <f t="shared" si="17"/>
        <v>0</v>
      </c>
      <c r="K44" s="2"/>
      <c r="L44" s="7">
        <f t="shared" si="18"/>
        <v>-500</v>
      </c>
      <c r="M44" s="2"/>
      <c r="N44" s="6">
        <f t="shared" si="19"/>
        <v>-1</v>
      </c>
      <c r="O44" s="11"/>
      <c r="P44" s="7"/>
      <c r="Q44" s="2"/>
      <c r="R44" s="6">
        <f t="shared" si="20"/>
        <v>0</v>
      </c>
      <c r="S44" s="2"/>
      <c r="T44" s="7">
        <v>1500</v>
      </c>
      <c r="U44" s="2"/>
      <c r="V44" s="6">
        <f t="shared" si="21"/>
        <v>0</v>
      </c>
      <c r="W44" s="2"/>
      <c r="X44" s="7">
        <f t="shared" si="22"/>
        <v>-1500</v>
      </c>
      <c r="Y44" s="2"/>
      <c r="Z44" s="6">
        <f t="shared" si="23"/>
        <v>-1</v>
      </c>
    </row>
    <row r="45" spans="1:26" s="28" customFormat="1" outlineLevel="1" collapsed="1" x14ac:dyDescent="0.25">
      <c r="A45" s="27"/>
      <c r="B45" s="14" t="str">
        <f>CONCATENATE("     ","Insurance                                         ")</f>
        <v xml:space="preserve">     Insurance                                         </v>
      </c>
      <c r="C45" s="14"/>
      <c r="D45" s="1">
        <f>SUM(OSRRefD22_4x_0)</f>
        <v>76.569999999999993</v>
      </c>
      <c r="E45" s="1"/>
      <c r="F45" s="5">
        <f t="shared" ref="F45:F51" si="24">IF(D$12=0,0,D45/D$12)</f>
        <v>0</v>
      </c>
      <c r="G45" s="1"/>
      <c r="H45" s="1">
        <f>SUM(OSRRefH22_4x_0)</f>
        <v>75</v>
      </c>
      <c r="I45" s="1"/>
      <c r="J45" s="5">
        <f t="shared" ref="J45:J51" si="25">IF(H$12=0,0,H45/H$12)</f>
        <v>0</v>
      </c>
      <c r="K45" s="1"/>
      <c r="L45" s="1">
        <f t="shared" ref="L45:L51" si="26">+D45-H45</f>
        <v>1.5699999999999932</v>
      </c>
      <c r="M45" s="1"/>
      <c r="N45" s="5">
        <f t="shared" ref="N45:N51" si="27">IF(H45=0,0,L45/H45)</f>
        <v>2.0933333333333241E-2</v>
      </c>
      <c r="O45" s="14"/>
      <c r="P45" s="1">
        <f>SUM(OSRRefP22_4x_0)</f>
        <v>229.71</v>
      </c>
      <c r="Q45" s="1"/>
      <c r="R45" s="5">
        <f t="shared" ref="R45:R51" si="28">IF(P$12=0,0,P45/P$12)</f>
        <v>0</v>
      </c>
      <c r="S45" s="1"/>
      <c r="T45" s="1">
        <f>SUM(OSRRefT22_4x_0)</f>
        <v>225</v>
      </c>
      <c r="U45" s="1"/>
      <c r="V45" s="5">
        <f t="shared" ref="V45:V51" si="29">IF(T$12=0,0,T45/T$12)</f>
        <v>0</v>
      </c>
      <c r="W45" s="1"/>
      <c r="X45" s="1">
        <f t="shared" ref="X45:X51" si="30">+P45-T45</f>
        <v>4.710000000000008</v>
      </c>
      <c r="Y45" s="1"/>
      <c r="Z45" s="5">
        <f t="shared" ref="Z45:Z51" si="31">IF(T45=0,0,X45/T45)</f>
        <v>2.093333333333337E-2</v>
      </c>
    </row>
    <row r="46" spans="1:26" s="24" customFormat="1" hidden="1" outlineLevel="2" x14ac:dyDescent="0.25">
      <c r="A46" s="29"/>
      <c r="B46" s="11" t="str">
        <f>CONCATENATE("          ", "6314", " - ", "LIABILITY INSURANCE")</f>
        <v xml:space="preserve">          6314 - LIABILITY INSURANCE</v>
      </c>
      <c r="C46" s="11"/>
      <c r="D46" s="7">
        <v>76.569999999999993</v>
      </c>
      <c r="E46" s="2"/>
      <c r="F46" s="6">
        <f t="shared" si="24"/>
        <v>0</v>
      </c>
      <c r="G46" s="2"/>
      <c r="H46" s="7">
        <v>75</v>
      </c>
      <c r="I46" s="2"/>
      <c r="J46" s="6">
        <f t="shared" si="25"/>
        <v>0</v>
      </c>
      <c r="K46" s="2"/>
      <c r="L46" s="7">
        <f t="shared" si="26"/>
        <v>1.5699999999999932</v>
      </c>
      <c r="M46" s="2"/>
      <c r="N46" s="6">
        <f t="shared" si="27"/>
        <v>2.0933333333333241E-2</v>
      </c>
      <c r="O46" s="11"/>
      <c r="P46" s="7">
        <v>229.71</v>
      </c>
      <c r="Q46" s="2"/>
      <c r="R46" s="6">
        <f t="shared" si="28"/>
        <v>0</v>
      </c>
      <c r="S46" s="2"/>
      <c r="T46" s="7">
        <v>225</v>
      </c>
      <c r="U46" s="2"/>
      <c r="V46" s="6">
        <f t="shared" si="29"/>
        <v>0</v>
      </c>
      <c r="W46" s="2"/>
      <c r="X46" s="7">
        <f t="shared" si="30"/>
        <v>4.710000000000008</v>
      </c>
      <c r="Y46" s="2"/>
      <c r="Z46" s="6">
        <f t="shared" si="31"/>
        <v>2.093333333333337E-2</v>
      </c>
    </row>
    <row r="47" spans="1:26" s="28" customFormat="1" outlineLevel="1" collapsed="1" x14ac:dyDescent="0.25">
      <c r="A47" s="27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SUM(OSRRefD22_5x_0)</f>
        <v>9466</v>
      </c>
      <c r="E47" s="1"/>
      <c r="F47" s="5">
        <f t="shared" si="24"/>
        <v>0</v>
      </c>
      <c r="G47" s="1"/>
      <c r="H47" s="1">
        <f>SUM(OSRRefH22_5x_0)</f>
        <v>10467</v>
      </c>
      <c r="I47" s="1"/>
      <c r="J47" s="5">
        <f t="shared" si="25"/>
        <v>0</v>
      </c>
      <c r="K47" s="1"/>
      <c r="L47" s="1">
        <f t="shared" si="26"/>
        <v>-1001</v>
      </c>
      <c r="M47" s="1"/>
      <c r="N47" s="5">
        <f t="shared" si="27"/>
        <v>-9.5633897009649374E-2</v>
      </c>
      <c r="O47" s="14"/>
      <c r="P47" s="1">
        <f>SUM(OSRRefP22_5x_0)</f>
        <v>27704.52</v>
      </c>
      <c r="Q47" s="1"/>
      <c r="R47" s="5">
        <f t="shared" si="28"/>
        <v>0</v>
      </c>
      <c r="S47" s="1"/>
      <c r="T47" s="1">
        <f>SUM(OSRRefT22_5x_0)</f>
        <v>34401</v>
      </c>
      <c r="U47" s="1"/>
      <c r="V47" s="5">
        <f t="shared" si="29"/>
        <v>0</v>
      </c>
      <c r="W47" s="1"/>
      <c r="X47" s="1">
        <f t="shared" si="30"/>
        <v>-6696.48</v>
      </c>
      <c r="Y47" s="1"/>
      <c r="Z47" s="5">
        <f t="shared" si="31"/>
        <v>-0.19465945757390773</v>
      </c>
    </row>
    <row r="48" spans="1:26" s="24" customFormat="1" hidden="1" outlineLevel="2" x14ac:dyDescent="0.25">
      <c r="A48" s="29"/>
      <c r="B48" s="11" t="str">
        <f>CONCATENATE("          ", "6371", " - ", "COMPUTER SOFTWARE MAINTENANCE")</f>
        <v xml:space="preserve">          6371 - COMPUTER SOFTWARE MAINTENANCE</v>
      </c>
      <c r="C48" s="11"/>
      <c r="D48" s="7"/>
      <c r="E48" s="2"/>
      <c r="F48" s="6">
        <f t="shared" si="24"/>
        <v>0</v>
      </c>
      <c r="G48" s="2"/>
      <c r="H48" s="7">
        <v>1000</v>
      </c>
      <c r="I48" s="2"/>
      <c r="J48" s="6">
        <f t="shared" si="25"/>
        <v>0</v>
      </c>
      <c r="K48" s="2"/>
      <c r="L48" s="7">
        <f t="shared" si="26"/>
        <v>-1000</v>
      </c>
      <c r="M48" s="2"/>
      <c r="N48" s="6">
        <f t="shared" si="27"/>
        <v>-1</v>
      </c>
      <c r="O48" s="11"/>
      <c r="P48" s="7">
        <v>1659</v>
      </c>
      <c r="Q48" s="2"/>
      <c r="R48" s="6">
        <f t="shared" si="28"/>
        <v>0</v>
      </c>
      <c r="S48" s="2"/>
      <c r="T48" s="7">
        <v>3000</v>
      </c>
      <c r="U48" s="2"/>
      <c r="V48" s="6">
        <f t="shared" si="29"/>
        <v>0</v>
      </c>
      <c r="W48" s="2"/>
      <c r="X48" s="7">
        <f t="shared" si="30"/>
        <v>-1341</v>
      </c>
      <c r="Y48" s="2"/>
      <c r="Z48" s="6">
        <f t="shared" si="31"/>
        <v>-0.44700000000000001</v>
      </c>
    </row>
    <row r="49" spans="1:26" s="24" customFormat="1" hidden="1" outlineLevel="2" x14ac:dyDescent="0.25">
      <c r="A49" s="29"/>
      <c r="B49" s="11" t="str">
        <f>CONCATENATE("          ", "6372", " - ", "COMPUTER HARDWARE MAINTENANCE")</f>
        <v xml:space="preserve">          6372 - COMPUTER HARDWARE MAINTENANCE</v>
      </c>
      <c r="C49" s="11"/>
      <c r="D49" s="7"/>
      <c r="E49" s="2"/>
      <c r="F49" s="6">
        <f t="shared" si="24"/>
        <v>0</v>
      </c>
      <c r="G49" s="2"/>
      <c r="H49" s="7">
        <v>0</v>
      </c>
      <c r="I49" s="2"/>
      <c r="J49" s="6">
        <f t="shared" si="25"/>
        <v>0</v>
      </c>
      <c r="K49" s="2"/>
      <c r="L49" s="7">
        <f t="shared" si="26"/>
        <v>0</v>
      </c>
      <c r="M49" s="2"/>
      <c r="N49" s="6">
        <f t="shared" si="27"/>
        <v>0</v>
      </c>
      <c r="O49" s="11"/>
      <c r="P49" s="7"/>
      <c r="Q49" s="2"/>
      <c r="R49" s="6">
        <f t="shared" si="28"/>
        <v>0</v>
      </c>
      <c r="S49" s="2"/>
      <c r="T49" s="7">
        <v>3000</v>
      </c>
      <c r="U49" s="2"/>
      <c r="V49" s="6">
        <f t="shared" si="29"/>
        <v>0</v>
      </c>
      <c r="W49" s="2"/>
      <c r="X49" s="7">
        <f t="shared" si="30"/>
        <v>-3000</v>
      </c>
      <c r="Y49" s="2"/>
      <c r="Z49" s="6">
        <f t="shared" si="31"/>
        <v>-1</v>
      </c>
    </row>
    <row r="50" spans="1:26" s="24" customFormat="1" hidden="1" outlineLevel="2" x14ac:dyDescent="0.25">
      <c r="A50" s="29"/>
      <c r="B50" s="11" t="str">
        <f>CONCATENATE("          ", "6373", " - ", "MAINTENANCE CONTRACTS")</f>
        <v xml:space="preserve">          6373 - MAINTENANCE CONTRACTS</v>
      </c>
      <c r="C50" s="11"/>
      <c r="D50" s="7">
        <v>9466</v>
      </c>
      <c r="E50" s="2"/>
      <c r="F50" s="6">
        <f t="shared" si="24"/>
        <v>0</v>
      </c>
      <c r="G50" s="2"/>
      <c r="H50" s="7">
        <v>9467</v>
      </c>
      <c r="I50" s="2"/>
      <c r="J50" s="6">
        <f t="shared" si="25"/>
        <v>0</v>
      </c>
      <c r="K50" s="2"/>
      <c r="L50" s="7">
        <f t="shared" si="26"/>
        <v>-1</v>
      </c>
      <c r="M50" s="2"/>
      <c r="N50" s="6">
        <f t="shared" si="27"/>
        <v>-1.0563008344776593E-4</v>
      </c>
      <c r="O50" s="11"/>
      <c r="P50" s="7">
        <v>25998</v>
      </c>
      <c r="Q50" s="2"/>
      <c r="R50" s="6">
        <f t="shared" si="28"/>
        <v>0</v>
      </c>
      <c r="S50" s="2"/>
      <c r="T50" s="7">
        <v>28401</v>
      </c>
      <c r="U50" s="2"/>
      <c r="V50" s="6">
        <f t="shared" si="29"/>
        <v>0</v>
      </c>
      <c r="W50" s="2"/>
      <c r="X50" s="7">
        <f t="shared" si="30"/>
        <v>-2403</v>
      </c>
      <c r="Y50" s="2"/>
      <c r="Z50" s="6">
        <f t="shared" si="31"/>
        <v>-8.4609696841660503E-2</v>
      </c>
    </row>
    <row r="51" spans="1:26" s="24" customFormat="1" hidden="1" outlineLevel="2" x14ac:dyDescent="0.25">
      <c r="A51" s="29"/>
      <c r="B51" s="11" t="str">
        <f>CONCATENATE("          ", "6375", " - ", "OUTSIDE REPAIRS &amp; MAINTENANCE")</f>
        <v xml:space="preserve">          6375 - OUTSIDE REPAIRS &amp; MAINTENANCE</v>
      </c>
      <c r="C51" s="11"/>
      <c r="D51" s="7"/>
      <c r="E51" s="2"/>
      <c r="F51" s="6">
        <f t="shared" si="24"/>
        <v>0</v>
      </c>
      <c r="G51" s="2"/>
      <c r="H51" s="7"/>
      <c r="I51" s="2"/>
      <c r="J51" s="6">
        <f t="shared" si="25"/>
        <v>0</v>
      </c>
      <c r="K51" s="2"/>
      <c r="L51" s="7">
        <f t="shared" si="26"/>
        <v>0</v>
      </c>
      <c r="M51" s="2"/>
      <c r="N51" s="6">
        <f t="shared" si="27"/>
        <v>0</v>
      </c>
      <c r="O51" s="11"/>
      <c r="P51" s="7">
        <v>47.52</v>
      </c>
      <c r="Q51" s="2"/>
      <c r="R51" s="6">
        <f t="shared" si="28"/>
        <v>0</v>
      </c>
      <c r="S51" s="2"/>
      <c r="T51" s="7"/>
      <c r="U51" s="2"/>
      <c r="V51" s="6">
        <f t="shared" si="29"/>
        <v>0</v>
      </c>
      <c r="W51" s="2"/>
      <c r="X51" s="7">
        <f t="shared" si="30"/>
        <v>47.52</v>
      </c>
      <c r="Y51" s="2"/>
      <c r="Z51" s="6">
        <f t="shared" si="31"/>
        <v>0</v>
      </c>
    </row>
    <row r="52" spans="1:26" s="28" customFormat="1" outlineLevel="1" collapsed="1" x14ac:dyDescent="0.25">
      <c r="A52" s="27"/>
      <c r="B52" s="14" t="str">
        <f>CONCATENATE("     ","Supplies                                          ")</f>
        <v xml:space="preserve">     Supplies                                          </v>
      </c>
      <c r="C52" s="14"/>
      <c r="D52" s="1">
        <f>SUM(OSRRefD22_6x_0)</f>
        <v>0</v>
      </c>
      <c r="E52" s="1"/>
      <c r="F52" s="5">
        <f t="shared" ref="F52:F56" si="32">IF(D$12=0,0,D52/D$12)</f>
        <v>0</v>
      </c>
      <c r="G52" s="1"/>
      <c r="H52" s="1">
        <f>SUM(OSRRefH22_6x_0)</f>
        <v>100</v>
      </c>
      <c r="I52" s="1"/>
      <c r="J52" s="5">
        <f t="shared" ref="J52:J56" si="33">IF(H$12=0,0,H52/H$12)</f>
        <v>0</v>
      </c>
      <c r="K52" s="1"/>
      <c r="L52" s="1">
        <f t="shared" ref="L52:L56" si="34">+D52-H52</f>
        <v>-100</v>
      </c>
      <c r="M52" s="1"/>
      <c r="N52" s="5">
        <f t="shared" ref="N52:N56" si="35">IF(H52=0,0,L52/H52)</f>
        <v>-1</v>
      </c>
      <c r="O52" s="14"/>
      <c r="P52" s="1">
        <f>SUM(OSRRefP22_6x_0)</f>
        <v>336.92</v>
      </c>
      <c r="Q52" s="1"/>
      <c r="R52" s="5">
        <f t="shared" ref="R52:R56" si="36">IF(P$12=0,0,P52/P$12)</f>
        <v>0</v>
      </c>
      <c r="S52" s="1"/>
      <c r="T52" s="1">
        <f>SUM(OSRRefT22_6x_0)</f>
        <v>300</v>
      </c>
      <c r="U52" s="1"/>
      <c r="V52" s="5">
        <f t="shared" ref="V52:V56" si="37">IF(T$12=0,0,T52/T$12)</f>
        <v>0</v>
      </c>
      <c r="W52" s="1"/>
      <c r="X52" s="1">
        <f t="shared" ref="X52:X56" si="38">+P52-T52</f>
        <v>36.920000000000016</v>
      </c>
      <c r="Y52" s="1"/>
      <c r="Z52" s="5">
        <f t="shared" ref="Z52:Z56" si="39">IF(T52=0,0,X52/T52)</f>
        <v>0.12306666666666671</v>
      </c>
    </row>
    <row r="53" spans="1:26" s="24" customFormat="1" hidden="1" outlineLevel="2" x14ac:dyDescent="0.25">
      <c r="A53" s="29"/>
      <c r="B53" s="11" t="str">
        <f>CONCATENATE("          ", "6241", " - ", "OFFICE EXPENSE")</f>
        <v xml:space="preserve">          6241 - OFFICE EXPENSE</v>
      </c>
      <c r="C53" s="11"/>
      <c r="D53" s="7"/>
      <c r="E53" s="2"/>
      <c r="F53" s="6">
        <f t="shared" si="32"/>
        <v>0</v>
      </c>
      <c r="G53" s="2"/>
      <c r="H53" s="7">
        <v>100</v>
      </c>
      <c r="I53" s="2"/>
      <c r="J53" s="6">
        <f t="shared" si="33"/>
        <v>0</v>
      </c>
      <c r="K53" s="2"/>
      <c r="L53" s="7">
        <f t="shared" si="34"/>
        <v>-100</v>
      </c>
      <c r="M53" s="2"/>
      <c r="N53" s="6">
        <f t="shared" si="35"/>
        <v>-1</v>
      </c>
      <c r="O53" s="11"/>
      <c r="P53" s="7">
        <v>336.92</v>
      </c>
      <c r="Q53" s="2"/>
      <c r="R53" s="6">
        <f t="shared" si="36"/>
        <v>0</v>
      </c>
      <c r="S53" s="2"/>
      <c r="T53" s="7">
        <v>300</v>
      </c>
      <c r="U53" s="2"/>
      <c r="V53" s="6">
        <f t="shared" si="37"/>
        <v>0</v>
      </c>
      <c r="W53" s="2"/>
      <c r="X53" s="7">
        <f t="shared" si="38"/>
        <v>36.920000000000016</v>
      </c>
      <c r="Y53" s="2"/>
      <c r="Z53" s="6">
        <f t="shared" si="39"/>
        <v>0.12306666666666671</v>
      </c>
    </row>
    <row r="54" spans="1:26" s="28" customFormat="1" outlineLevel="1" collapsed="1" x14ac:dyDescent="0.25">
      <c r="A54" s="27"/>
      <c r="B54" s="14" t="str">
        <f>CONCATENATE("     ","Telephone/Data Lines                              ")</f>
        <v xml:space="preserve">     Telephone/Data Lines                              </v>
      </c>
      <c r="C54" s="14"/>
      <c r="D54" s="1">
        <f>SUM(OSRRefD22_7x_0)</f>
        <v>653.9</v>
      </c>
      <c r="E54" s="1"/>
      <c r="F54" s="5">
        <f t="shared" si="32"/>
        <v>0</v>
      </c>
      <c r="G54" s="1"/>
      <c r="H54" s="1">
        <f>SUM(OSRRefH22_7x_0)</f>
        <v>500</v>
      </c>
      <c r="I54" s="1"/>
      <c r="J54" s="5">
        <f t="shared" si="33"/>
        <v>0</v>
      </c>
      <c r="K54" s="1"/>
      <c r="L54" s="1">
        <f t="shared" si="34"/>
        <v>153.89999999999998</v>
      </c>
      <c r="M54" s="1"/>
      <c r="N54" s="5">
        <f t="shared" si="35"/>
        <v>0.30779999999999996</v>
      </c>
      <c r="O54" s="14"/>
      <c r="P54" s="1">
        <f>SUM(OSRRefP22_7x_0)</f>
        <v>2371.11</v>
      </c>
      <c r="Q54" s="1"/>
      <c r="R54" s="5">
        <f t="shared" si="36"/>
        <v>0</v>
      </c>
      <c r="S54" s="1"/>
      <c r="T54" s="1">
        <f>SUM(OSRRefT22_7x_0)</f>
        <v>1500</v>
      </c>
      <c r="U54" s="1"/>
      <c r="V54" s="5">
        <f t="shared" si="37"/>
        <v>0</v>
      </c>
      <c r="W54" s="1"/>
      <c r="X54" s="1">
        <f t="shared" si="38"/>
        <v>871.11000000000013</v>
      </c>
      <c r="Y54" s="1"/>
      <c r="Z54" s="5">
        <f t="shared" si="39"/>
        <v>0.58074000000000003</v>
      </c>
    </row>
    <row r="55" spans="1:26" s="24" customFormat="1" hidden="1" outlineLevel="2" x14ac:dyDescent="0.25">
      <c r="A55" s="29"/>
      <c r="B55" s="11" t="str">
        <f>CONCATENATE("          ", "6303", " - ", "DATA PHONE LINES")</f>
        <v xml:space="preserve">          6303 - DATA PHONE LINES</v>
      </c>
      <c r="C55" s="11"/>
      <c r="D55" s="7"/>
      <c r="E55" s="2"/>
      <c r="F55" s="6">
        <f t="shared" si="32"/>
        <v>0</v>
      </c>
      <c r="G55" s="2"/>
      <c r="H55" s="7">
        <v>200</v>
      </c>
      <c r="I55" s="2"/>
      <c r="J55" s="6">
        <f t="shared" si="33"/>
        <v>0</v>
      </c>
      <c r="K55" s="2"/>
      <c r="L55" s="7">
        <f t="shared" si="34"/>
        <v>-200</v>
      </c>
      <c r="M55" s="2"/>
      <c r="N55" s="6">
        <f t="shared" si="35"/>
        <v>-1</v>
      </c>
      <c r="O55" s="11"/>
      <c r="P55" s="7">
        <v>323.95999999999998</v>
      </c>
      <c r="Q55" s="2"/>
      <c r="R55" s="6">
        <f t="shared" si="36"/>
        <v>0</v>
      </c>
      <c r="S55" s="2"/>
      <c r="T55" s="7">
        <v>600</v>
      </c>
      <c r="U55" s="2"/>
      <c r="V55" s="6">
        <f t="shared" si="37"/>
        <v>0</v>
      </c>
      <c r="W55" s="2"/>
      <c r="X55" s="7">
        <f t="shared" si="38"/>
        <v>-276.04000000000002</v>
      </c>
      <c r="Y55" s="2"/>
      <c r="Z55" s="6">
        <f t="shared" si="39"/>
        <v>-0.46006666666666668</v>
      </c>
    </row>
    <row r="56" spans="1:26" s="24" customFormat="1" hidden="1" outlineLevel="2" x14ac:dyDescent="0.25">
      <c r="A56" s="29"/>
      <c r="B56" s="11" t="str">
        <f>CONCATENATE("          ", "6309", " - ", "TELEPHONE")</f>
        <v xml:space="preserve">          6309 - TELEPHONE</v>
      </c>
      <c r="C56" s="11"/>
      <c r="D56" s="7">
        <v>653.9</v>
      </c>
      <c r="E56" s="2"/>
      <c r="F56" s="6">
        <f t="shared" si="32"/>
        <v>0</v>
      </c>
      <c r="G56" s="2"/>
      <c r="H56" s="7">
        <v>300</v>
      </c>
      <c r="I56" s="2"/>
      <c r="J56" s="6">
        <f t="shared" si="33"/>
        <v>0</v>
      </c>
      <c r="K56" s="2"/>
      <c r="L56" s="7">
        <f t="shared" si="34"/>
        <v>353.9</v>
      </c>
      <c r="M56" s="2"/>
      <c r="N56" s="6">
        <f t="shared" si="35"/>
        <v>1.1796666666666666</v>
      </c>
      <c r="O56" s="11"/>
      <c r="P56" s="7">
        <v>2047.15</v>
      </c>
      <c r="Q56" s="2"/>
      <c r="R56" s="6">
        <f t="shared" si="36"/>
        <v>0</v>
      </c>
      <c r="S56" s="2"/>
      <c r="T56" s="7">
        <v>900</v>
      </c>
      <c r="U56" s="2"/>
      <c r="V56" s="6">
        <f t="shared" si="37"/>
        <v>0</v>
      </c>
      <c r="W56" s="2"/>
      <c r="X56" s="7">
        <f t="shared" si="38"/>
        <v>1147.1500000000001</v>
      </c>
      <c r="Y56" s="2"/>
      <c r="Z56" s="6">
        <f t="shared" si="39"/>
        <v>1.2746111111111111</v>
      </c>
    </row>
    <row r="57" spans="1:26" s="58" customFormat="1" x14ac:dyDescent="0.25">
      <c r="A57" s="36"/>
      <c r="B57" s="36"/>
      <c r="C57" s="36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6" t="s">
        <v>293</v>
      </c>
      <c r="C58" s="10"/>
      <c r="D58" s="4">
        <f>SUM(0)</f>
        <v>0</v>
      </c>
      <c r="E58" s="4"/>
      <c r="F58" s="12">
        <f>IF(D$12=0,0,D58/D$12)</f>
        <v>0</v>
      </c>
      <c r="G58" s="4"/>
      <c r="H58" s="4">
        <f>SUM(0)</f>
        <v>0</v>
      </c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>
        <f>SUM(0)</f>
        <v>0</v>
      </c>
      <c r="Q58" s="4"/>
      <c r="R58" s="12">
        <f>IF(P$12=0,0,P58/P$12)</f>
        <v>0</v>
      </c>
      <c r="S58" s="4"/>
      <c r="T58" s="4">
        <f>SUM(0)</f>
        <v>0</v>
      </c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5" t="s">
        <v>277</v>
      </c>
      <c r="C60" s="25"/>
      <c r="D60" s="21">
        <f>+D16-D18+D58</f>
        <v>-42220.380000000005</v>
      </c>
      <c r="E60" s="13"/>
      <c r="F60" s="20">
        <f>IF(D$12=0,0,D60/D$12)</f>
        <v>0</v>
      </c>
      <c r="G60" s="13"/>
      <c r="H60" s="21">
        <f>+H16-H18+H58</f>
        <v>-49159.666047384599</v>
      </c>
      <c r="I60" s="13"/>
      <c r="J60" s="20">
        <f>IF(H$12=0,0,H60/H$12)</f>
        <v>0</v>
      </c>
      <c r="K60" s="16"/>
      <c r="L60" s="21">
        <f>+D60-H60</f>
        <v>6939.286047384594</v>
      </c>
      <c r="M60" s="16"/>
      <c r="N60" s="20">
        <f>IF(H60=0,0,L60/H60)</f>
        <v>-0.14115812016899937</v>
      </c>
      <c r="O60" s="26"/>
      <c r="P60" s="21">
        <f>+P16-P18+P58</f>
        <v>-133309.49000000002</v>
      </c>
      <c r="Q60" s="13"/>
      <c r="R60" s="20">
        <f>IF(P$12=0,0,P60/P$12)</f>
        <v>0</v>
      </c>
      <c r="S60" s="13"/>
      <c r="T60" s="21">
        <f>+T16-T18+T58</f>
        <v>-157310.41465399993</v>
      </c>
      <c r="U60" s="13"/>
      <c r="V60" s="20">
        <f>IF(T$12=0,0,T60/T$12)</f>
        <v>0</v>
      </c>
      <c r="W60" s="16"/>
      <c r="X60" s="21">
        <f>+P60-T60</f>
        <v>24000.924653999915</v>
      </c>
      <c r="Y60" s="16"/>
      <c r="Z60" s="20">
        <f>IF(T60=0,0,X60/T60)</f>
        <v>-0.15257047479525948</v>
      </c>
    </row>
    <row r="61" spans="1:26" x14ac:dyDescent="0.25">
      <c r="A61" s="9"/>
      <c r="B61" s="10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52"/>
      <c r="B62" s="10" t="s">
        <v>128</v>
      </c>
      <c r="C62" s="10"/>
      <c r="D62" s="4"/>
      <c r="E62" s="4"/>
      <c r="F62" s="12">
        <f>IF(D$12=0,0,D62/D$12)</f>
        <v>0</v>
      </c>
      <c r="G62" s="4"/>
      <c r="H62" s="4"/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/>
      <c r="Q62" s="4"/>
      <c r="R62" s="12">
        <f>IF(P$12=0,0,P62/P$12)</f>
        <v>0</v>
      </c>
      <c r="S62" s="4"/>
      <c r="T62" s="4"/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5" t="s">
        <v>126</v>
      </c>
      <c r="C64" s="25"/>
      <c r="D64" s="33">
        <f>+D60-D62</f>
        <v>-42220.380000000005</v>
      </c>
      <c r="E64" s="13"/>
      <c r="F64" s="31">
        <f>IF(D$12=0,0,D64/D$12)</f>
        <v>0</v>
      </c>
      <c r="G64" s="13"/>
      <c r="H64" s="33">
        <f>+H60-H62</f>
        <v>-49159.666047384599</v>
      </c>
      <c r="I64" s="13"/>
      <c r="J64" s="31">
        <f>IF(H$12=0,0,H64/H$12)</f>
        <v>0</v>
      </c>
      <c r="K64" s="16"/>
      <c r="L64" s="33">
        <f>D64-H64</f>
        <v>6939.286047384594</v>
      </c>
      <c r="M64" s="16"/>
      <c r="N64" s="31">
        <f>IF(H64=0,0,L64/H64)</f>
        <v>-0.14115812016899937</v>
      </c>
      <c r="O64" s="26"/>
      <c r="P64" s="33">
        <f>+P60-P62</f>
        <v>-133309.49000000002</v>
      </c>
      <c r="Q64" s="13"/>
      <c r="R64" s="31">
        <f>IF(P$12=0,0,P64/P$12)</f>
        <v>0</v>
      </c>
      <c r="S64" s="13"/>
      <c r="T64" s="33">
        <f>+T60-T62</f>
        <v>-157310.41465399993</v>
      </c>
      <c r="U64" s="13"/>
      <c r="V64" s="31">
        <f>IF(T$12=0,0,T64/T$12)</f>
        <v>0</v>
      </c>
      <c r="W64" s="16"/>
      <c r="X64" s="33">
        <f>P64-T64</f>
        <v>24000.924653999915</v>
      </c>
      <c r="Y64" s="16"/>
      <c r="Z64" s="31">
        <f>IF(T64=0,0,X64/T64)</f>
        <v>-0.15257047479525948</v>
      </c>
    </row>
    <row r="65" spans="1:26" ht="15.75" thickTop="1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5" t="s">
        <v>294</v>
      </c>
      <c r="C67" s="25"/>
      <c r="D67" s="35">
        <f>SUM(D64:D66)</f>
        <v>-42220.380000000005</v>
      </c>
      <c r="E67" s="13"/>
      <c r="F67" s="34">
        <f>IF(D$12=0,0,D67/D$12)</f>
        <v>0</v>
      </c>
      <c r="G67" s="13"/>
      <c r="H67" s="35">
        <f>SUM(H64:H66)</f>
        <v>-49159.666047384599</v>
      </c>
      <c r="I67" s="13"/>
      <c r="J67" s="34">
        <f>IF(H$12=0,0,H67/H$12)</f>
        <v>0</v>
      </c>
      <c r="K67" s="16"/>
      <c r="L67" s="35">
        <f>+D67-H67</f>
        <v>6939.286047384594</v>
      </c>
      <c r="M67" s="16"/>
      <c r="N67" s="34">
        <f>IF(H67=0,0,L67/H67)</f>
        <v>-0.14115812016899937</v>
      </c>
      <c r="O67" s="26"/>
      <c r="P67" s="35">
        <f>SUM(P64:P66)</f>
        <v>-133309.49000000002</v>
      </c>
      <c r="Q67" s="13"/>
      <c r="R67" s="34">
        <f>IF(P$12=0,0,P67/P$12)</f>
        <v>0</v>
      </c>
      <c r="S67" s="13"/>
      <c r="T67" s="35">
        <f>SUM(T64:T66)</f>
        <v>-157310.41465399993</v>
      </c>
      <c r="U67" s="13"/>
      <c r="V67" s="34">
        <f>IF(T$12=0,0,T67/T$12)</f>
        <v>0</v>
      </c>
      <c r="W67" s="16"/>
      <c r="X67" s="35">
        <f>+P67-T67</f>
        <v>24000.924653999915</v>
      </c>
      <c r="Y67" s="16"/>
      <c r="Z67" s="34">
        <f>IF(T67=0,0,X67/T67)</f>
        <v>-0.15257047479525948</v>
      </c>
    </row>
    <row r="68" spans="1:26" ht="15.75" thickTop="1" x14ac:dyDescent="0.25">
      <c r="A68" s="9"/>
      <c r="C68" s="9"/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25">
      <c r="A69" s="9"/>
      <c r="B69" s="61">
        <v>44481.978956793981</v>
      </c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A70" s="9"/>
      <c r="B70" s="56" t="s">
        <v>56</v>
      </c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25">
      <c r="A71" s="9"/>
      <c r="B71" s="54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","205", " - ", "Maintenance")</f>
        <v>Department 205 - Maintenance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108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295</v>
      </c>
      <c r="C18" s="10"/>
      <c r="D18" s="22">
        <f>SUM(OSRRefD22x_0)</f>
        <v>6279.6600000000008</v>
      </c>
      <c r="E18" s="22"/>
      <c r="F18" s="32">
        <f t="shared" ref="F18:F28" si="0">IF(D$12=0,0,D18/D$12)</f>
        <v>0</v>
      </c>
      <c r="G18" s="22"/>
      <c r="H18" s="22">
        <f>SUM(OSRRefH22x_0)</f>
        <v>7437.9665799999993</v>
      </c>
      <c r="I18" s="22"/>
      <c r="J18" s="32">
        <f t="shared" ref="J18:J28" si="1">IF(H$12=0,0,H18/H$12)</f>
        <v>0</v>
      </c>
      <c r="K18" s="4"/>
      <c r="L18" s="22">
        <f t="shared" ref="L18:L28" si="2">+D18-H18</f>
        <v>-1158.3065799999986</v>
      </c>
      <c r="M18" s="4"/>
      <c r="N18" s="32">
        <f t="shared" ref="N18:N28" si="3">IF(H18=0,0,L18/H18)</f>
        <v>-0.15572893041958233</v>
      </c>
      <c r="O18" s="10"/>
      <c r="P18" s="22">
        <f>SUM(OSRRefP22x_0)</f>
        <v>22221.929999999997</v>
      </c>
      <c r="Q18" s="22"/>
      <c r="R18" s="32">
        <f t="shared" ref="R18:R28" si="4">IF(P$12=0,0,P18/P$12)</f>
        <v>0</v>
      </c>
      <c r="S18" s="22"/>
      <c r="T18" s="22">
        <f>SUM(OSRRefT22x_0)</f>
        <v>27639.641384999999</v>
      </c>
      <c r="U18" s="22"/>
      <c r="V18" s="32">
        <f t="shared" ref="V18:V28" si="5">IF(T$12=0,0,T18/T$12)</f>
        <v>0</v>
      </c>
      <c r="W18" s="4"/>
      <c r="X18" s="22">
        <f t="shared" ref="X18:X28" si="6">+P18-T18</f>
        <v>-5417.7113850000023</v>
      </c>
      <c r="Y18" s="4"/>
      <c r="Z18" s="32">
        <f t="shared" ref="Z18:Z28" si="7">IF(T18=0,0,X18/T18)</f>
        <v>-0.19601236172116865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2079.7400000000002</v>
      </c>
      <c r="E19" s="1"/>
      <c r="F19" s="5">
        <f t="shared" si="0"/>
        <v>0</v>
      </c>
      <c r="G19" s="1"/>
      <c r="H19" s="1">
        <f>SUM(OSRRefH22_0x_0)</f>
        <v>1854.7865799999997</v>
      </c>
      <c r="I19" s="1"/>
      <c r="J19" s="5">
        <f t="shared" si="1"/>
        <v>0</v>
      </c>
      <c r="K19" s="1"/>
      <c r="L19" s="1">
        <f t="shared" si="2"/>
        <v>224.95342000000051</v>
      </c>
      <c r="M19" s="1"/>
      <c r="N19" s="5">
        <f t="shared" si="3"/>
        <v>0.12128264374222533</v>
      </c>
      <c r="O19" s="14"/>
      <c r="P19" s="1">
        <f>SUM(OSRRefP22_0x_0)</f>
        <v>6378.5599999999995</v>
      </c>
      <c r="Q19" s="1"/>
      <c r="R19" s="5">
        <f t="shared" si="4"/>
        <v>0</v>
      </c>
      <c r="S19" s="1"/>
      <c r="T19" s="1">
        <f>SUM(OSRRefT22_0x_0)</f>
        <v>5984.3063849999999</v>
      </c>
      <c r="U19" s="1"/>
      <c r="V19" s="5">
        <f t="shared" si="5"/>
        <v>0</v>
      </c>
      <c r="W19" s="1"/>
      <c r="X19" s="1">
        <f t="shared" si="6"/>
        <v>394.25361499999963</v>
      </c>
      <c r="Y19" s="1"/>
      <c r="Z19" s="5">
        <f t="shared" si="7"/>
        <v>6.5881255008637007E-2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322.3</v>
      </c>
      <c r="E20" s="2"/>
      <c r="F20" s="6">
        <f t="shared" si="0"/>
        <v>0</v>
      </c>
      <c r="G20" s="2"/>
      <c r="H20" s="7">
        <v>331.06878</v>
      </c>
      <c r="I20" s="2"/>
      <c r="J20" s="6">
        <f t="shared" si="1"/>
        <v>0</v>
      </c>
      <c r="K20" s="2"/>
      <c r="L20" s="7">
        <f t="shared" si="2"/>
        <v>-8.7687799999999925</v>
      </c>
      <c r="M20" s="2"/>
      <c r="N20" s="6">
        <f t="shared" si="3"/>
        <v>-2.6486278772646556E-2</v>
      </c>
      <c r="O20" s="11"/>
      <c r="P20" s="7">
        <v>990.63</v>
      </c>
      <c r="Q20" s="2"/>
      <c r="R20" s="6">
        <f t="shared" si="4"/>
        <v>0</v>
      </c>
      <c r="S20" s="2"/>
      <c r="T20" s="7">
        <v>1075.9735350000001</v>
      </c>
      <c r="U20" s="2"/>
      <c r="V20" s="6">
        <f t="shared" si="5"/>
        <v>0</v>
      </c>
      <c r="W20" s="2"/>
      <c r="X20" s="7">
        <f t="shared" si="6"/>
        <v>-85.343535000000088</v>
      </c>
      <c r="Y20" s="2"/>
      <c r="Z20" s="6">
        <f t="shared" si="7"/>
        <v>-7.9317503845482668E-2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232.98</v>
      </c>
      <c r="E21" s="2"/>
      <c r="F21" s="6">
        <f t="shared" si="0"/>
        <v>0</v>
      </c>
      <c r="G21" s="2"/>
      <c r="H21" s="7">
        <v>295.03320000000002</v>
      </c>
      <c r="I21" s="2"/>
      <c r="J21" s="6">
        <f t="shared" si="1"/>
        <v>0</v>
      </c>
      <c r="K21" s="2"/>
      <c r="L21" s="7">
        <f t="shared" si="2"/>
        <v>-62.053200000000032</v>
      </c>
      <c r="M21" s="2"/>
      <c r="N21" s="6">
        <f t="shared" si="3"/>
        <v>-0.21032615990336012</v>
      </c>
      <c r="O21" s="11"/>
      <c r="P21" s="7">
        <v>709.57</v>
      </c>
      <c r="Q21" s="2"/>
      <c r="R21" s="6">
        <f t="shared" si="4"/>
        <v>0</v>
      </c>
      <c r="S21" s="2"/>
      <c r="T21" s="7">
        <v>958.85789999999997</v>
      </c>
      <c r="U21" s="2"/>
      <c r="V21" s="6">
        <f t="shared" si="5"/>
        <v>0</v>
      </c>
      <c r="W21" s="2"/>
      <c r="X21" s="7">
        <f t="shared" si="6"/>
        <v>-249.28789999999992</v>
      </c>
      <c r="Y21" s="2"/>
      <c r="Z21" s="6">
        <f t="shared" si="7"/>
        <v>-0.25998419578125176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707.41</v>
      </c>
      <c r="E22" s="2"/>
      <c r="F22" s="6">
        <f t="shared" si="0"/>
        <v>0</v>
      </c>
      <c r="G22" s="2"/>
      <c r="H22" s="7">
        <v>612</v>
      </c>
      <c r="I22" s="2"/>
      <c r="J22" s="6">
        <f t="shared" si="1"/>
        <v>0</v>
      </c>
      <c r="K22" s="2"/>
      <c r="L22" s="7">
        <f t="shared" si="2"/>
        <v>95.409999999999968</v>
      </c>
      <c r="M22" s="2"/>
      <c r="N22" s="6">
        <f t="shared" si="3"/>
        <v>0.15589869281045746</v>
      </c>
      <c r="O22" s="11"/>
      <c r="P22" s="7">
        <v>2099.73</v>
      </c>
      <c r="Q22" s="2"/>
      <c r="R22" s="6">
        <f t="shared" si="4"/>
        <v>0</v>
      </c>
      <c r="S22" s="2"/>
      <c r="T22" s="7">
        <v>1989</v>
      </c>
      <c r="U22" s="2"/>
      <c r="V22" s="6">
        <f t="shared" si="5"/>
        <v>0</v>
      </c>
      <c r="W22" s="2"/>
      <c r="X22" s="7">
        <f t="shared" si="6"/>
        <v>110.73000000000002</v>
      </c>
      <c r="Y22" s="2"/>
      <c r="Z22" s="6">
        <f t="shared" si="7"/>
        <v>5.5671191553544504E-2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10.95</v>
      </c>
      <c r="E23" s="2"/>
      <c r="F23" s="6">
        <f t="shared" si="0"/>
        <v>0</v>
      </c>
      <c r="G23" s="2"/>
      <c r="H23" s="7">
        <v>9.0846</v>
      </c>
      <c r="I23" s="2"/>
      <c r="J23" s="6">
        <f t="shared" si="1"/>
        <v>0</v>
      </c>
      <c r="K23" s="2"/>
      <c r="L23" s="7">
        <f t="shared" si="2"/>
        <v>1.8653999999999993</v>
      </c>
      <c r="M23" s="2"/>
      <c r="N23" s="6">
        <f t="shared" si="3"/>
        <v>0.20533650353345215</v>
      </c>
      <c r="O23" s="11"/>
      <c r="P23" s="7">
        <v>33.36</v>
      </c>
      <c r="Q23" s="2"/>
      <c r="R23" s="6">
        <f t="shared" si="4"/>
        <v>0</v>
      </c>
      <c r="S23" s="2"/>
      <c r="T23" s="7">
        <v>29.52495</v>
      </c>
      <c r="U23" s="2"/>
      <c r="V23" s="6">
        <f t="shared" si="5"/>
        <v>0</v>
      </c>
      <c r="W23" s="2"/>
      <c r="X23" s="7">
        <f t="shared" si="6"/>
        <v>3.835049999999999</v>
      </c>
      <c r="Y23" s="2"/>
      <c r="Z23" s="6">
        <f t="shared" si="7"/>
        <v>0.12989183724273873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456.93</v>
      </c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456.93</v>
      </c>
      <c r="M24" s="2"/>
      <c r="N24" s="6">
        <f t="shared" si="3"/>
        <v>0</v>
      </c>
      <c r="O24" s="11"/>
      <c r="P24" s="7">
        <v>1370.79</v>
      </c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1370.79</v>
      </c>
      <c r="Y24" s="2"/>
      <c r="Z24" s="6">
        <f t="shared" si="7"/>
        <v>0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/>
      <c r="E26" s="2"/>
      <c r="F26" s="6">
        <f t="shared" si="0"/>
        <v>0</v>
      </c>
      <c r="G26" s="2"/>
      <c r="H26" s="7">
        <v>346.08</v>
      </c>
      <c r="I26" s="2"/>
      <c r="J26" s="6">
        <f t="shared" si="1"/>
        <v>0</v>
      </c>
      <c r="K26" s="2"/>
      <c r="L26" s="7">
        <f t="shared" si="2"/>
        <v>-346.08</v>
      </c>
      <c r="M26" s="2"/>
      <c r="N26" s="6">
        <f t="shared" si="3"/>
        <v>-1</v>
      </c>
      <c r="O26" s="11"/>
      <c r="P26" s="7">
        <v>88.46</v>
      </c>
      <c r="Q26" s="2"/>
      <c r="R26" s="6">
        <f t="shared" si="4"/>
        <v>0</v>
      </c>
      <c r="S26" s="2"/>
      <c r="T26" s="7">
        <v>1124.76</v>
      </c>
      <c r="U26" s="2"/>
      <c r="V26" s="6">
        <f t="shared" si="5"/>
        <v>0</v>
      </c>
      <c r="W26" s="2"/>
      <c r="X26" s="7">
        <f t="shared" si="6"/>
        <v>-1036.3</v>
      </c>
      <c r="Y26" s="2"/>
      <c r="Z26" s="6">
        <f t="shared" si="7"/>
        <v>-0.921352110672499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193.72</v>
      </c>
      <c r="E27" s="2"/>
      <c r="F27" s="6">
        <f t="shared" si="0"/>
        <v>0</v>
      </c>
      <c r="G27" s="2"/>
      <c r="H27" s="7">
        <v>86.52</v>
      </c>
      <c r="I27" s="2"/>
      <c r="J27" s="6">
        <f t="shared" si="1"/>
        <v>0</v>
      </c>
      <c r="K27" s="2"/>
      <c r="L27" s="7">
        <f t="shared" si="2"/>
        <v>107.2</v>
      </c>
      <c r="M27" s="2"/>
      <c r="N27" s="6">
        <f t="shared" si="3"/>
        <v>1.239019879796579</v>
      </c>
      <c r="O27" s="11"/>
      <c r="P27" s="7">
        <v>581.16</v>
      </c>
      <c r="Q27" s="2"/>
      <c r="R27" s="6">
        <f t="shared" si="4"/>
        <v>0</v>
      </c>
      <c r="S27" s="2"/>
      <c r="T27" s="7">
        <v>281.19</v>
      </c>
      <c r="U27" s="2"/>
      <c r="V27" s="6">
        <f t="shared" si="5"/>
        <v>0</v>
      </c>
      <c r="W27" s="2"/>
      <c r="X27" s="7">
        <f t="shared" si="6"/>
        <v>299.96999999999997</v>
      </c>
      <c r="Y27" s="2"/>
      <c r="Z27" s="6">
        <f t="shared" si="7"/>
        <v>1.066787581350688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155.44999999999999</v>
      </c>
      <c r="E28" s="2"/>
      <c r="F28" s="6">
        <f t="shared" si="0"/>
        <v>0</v>
      </c>
      <c r="G28" s="2"/>
      <c r="H28" s="7">
        <v>175</v>
      </c>
      <c r="I28" s="2"/>
      <c r="J28" s="6">
        <f t="shared" si="1"/>
        <v>0</v>
      </c>
      <c r="K28" s="2"/>
      <c r="L28" s="7">
        <f t="shared" si="2"/>
        <v>-19.550000000000011</v>
      </c>
      <c r="M28" s="2"/>
      <c r="N28" s="6">
        <f t="shared" si="3"/>
        <v>-0.11171428571428578</v>
      </c>
      <c r="O28" s="11"/>
      <c r="P28" s="7">
        <v>504.86</v>
      </c>
      <c r="Q28" s="2"/>
      <c r="R28" s="6">
        <f t="shared" si="4"/>
        <v>0</v>
      </c>
      <c r="S28" s="2"/>
      <c r="T28" s="7">
        <v>525</v>
      </c>
      <c r="U28" s="2"/>
      <c r="V28" s="6">
        <f t="shared" si="5"/>
        <v>0</v>
      </c>
      <c r="W28" s="2"/>
      <c r="X28" s="7">
        <f t="shared" si="6"/>
        <v>-20.139999999999986</v>
      </c>
      <c r="Y28" s="2"/>
      <c r="Z28" s="6">
        <f t="shared" si="7"/>
        <v>-3.8361904761904736E-2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3149.8</v>
      </c>
      <c r="E29" s="1"/>
      <c r="F29" s="5">
        <f t="shared" ref="F29:F39" si="8">IF(D$12=0,0,D29/D$12)</f>
        <v>0</v>
      </c>
      <c r="G29" s="1"/>
      <c r="H29" s="1">
        <f>SUM(OSRRefH22_1x_0)</f>
        <v>4023.18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-873.37999999999965</v>
      </c>
      <c r="M29" s="1"/>
      <c r="N29" s="5">
        <f t="shared" ref="N29:N39" si="11">IF(H29=0,0,L29/H29)</f>
        <v>-0.2170869809454212</v>
      </c>
      <c r="O29" s="14"/>
      <c r="P29" s="1">
        <f>SUM(OSRRefP22_1x_0)</f>
        <v>12743.67</v>
      </c>
      <c r="Q29" s="1"/>
      <c r="R29" s="5">
        <f t="shared" ref="R29:R39" si="12">IF(P$12=0,0,P29/P$12)</f>
        <v>0</v>
      </c>
      <c r="S29" s="1"/>
      <c r="T29" s="1">
        <f>SUM(OSRRefT22_1x_0)</f>
        <v>13075.334999999999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-331.66499999999905</v>
      </c>
      <c r="Y29" s="1"/>
      <c r="Z29" s="5">
        <f t="shared" ref="Z29:Z39" si="15">IF(T29=0,0,X29/T29)</f>
        <v>-2.536569808727647E-2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7">
        <v>3149.8</v>
      </c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3149.8</v>
      </c>
      <c r="M31" s="2"/>
      <c r="N31" s="6">
        <f t="shared" si="11"/>
        <v>0</v>
      </c>
      <c r="O31" s="11"/>
      <c r="P31" s="7">
        <v>12743.67</v>
      </c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12743.67</v>
      </c>
      <c r="Y31" s="2"/>
      <c r="Z31" s="6">
        <f t="shared" si="15"/>
        <v>0</v>
      </c>
    </row>
    <row r="32" spans="1:26" s="24" customFormat="1" hidden="1" outlineLevel="2" x14ac:dyDescent="0.25">
      <c r="A32" s="29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4023.18</v>
      </c>
      <c r="I33" s="2"/>
      <c r="J33" s="6">
        <f t="shared" si="9"/>
        <v>0</v>
      </c>
      <c r="K33" s="2"/>
      <c r="L33" s="7">
        <f t="shared" si="10"/>
        <v>-4023.18</v>
      </c>
      <c r="M33" s="2"/>
      <c r="N33" s="6">
        <f t="shared" si="11"/>
        <v>-1</v>
      </c>
      <c r="O33" s="11"/>
      <c r="P33" s="7"/>
      <c r="Q33" s="2"/>
      <c r="R33" s="6">
        <f t="shared" si="12"/>
        <v>0</v>
      </c>
      <c r="S33" s="2"/>
      <c r="T33" s="7">
        <v>13075.334999999999</v>
      </c>
      <c r="U33" s="2"/>
      <c r="V33" s="6">
        <f t="shared" si="13"/>
        <v>0</v>
      </c>
      <c r="W33" s="2"/>
      <c r="X33" s="7">
        <f t="shared" si="14"/>
        <v>-13075.334999999999</v>
      </c>
      <c r="Y33" s="2"/>
      <c r="Z33" s="6">
        <f t="shared" si="15"/>
        <v>-1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9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9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25">
      <c r="A40" s="27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-150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150</v>
      </c>
      <c r="M40" s="1"/>
      <c r="N40" s="5">
        <f t="shared" ref="N40:N46" si="19">IF(H40=0,0,L40/H40)</f>
        <v>-1</v>
      </c>
      <c r="O40" s="14"/>
      <c r="P40" s="1">
        <f>SUM(OSRRefP22_2x_0)</f>
        <v>0</v>
      </c>
      <c r="Q40" s="1"/>
      <c r="R40" s="5">
        <f t="shared" ref="R40:R46" si="20">IF(P$12=0,0,P40/P$12)</f>
        <v>0</v>
      </c>
      <c r="S40" s="1"/>
      <c r="T40" s="1">
        <f>SUM(OSRRefT22_2x_0)</f>
        <v>-150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150</v>
      </c>
      <c r="Y40" s="1"/>
      <c r="Z40" s="5">
        <f t="shared" ref="Z40:Z46" si="23">IF(T40=0,0,X40/T40)</f>
        <v>-1</v>
      </c>
    </row>
    <row r="41" spans="1:26" s="24" customFormat="1" hidden="1" outlineLevel="2" x14ac:dyDescent="0.25">
      <c r="A41" s="29"/>
      <c r="B41" s="11" t="str">
        <f>CONCATENATE("          ", "6279", " - ", "GENERAL EXPENSE")</f>
        <v xml:space="preserve">          6279 - GENERAL EXPENSE</v>
      </c>
      <c r="C41" s="11"/>
      <c r="D41" s="7"/>
      <c r="E41" s="2"/>
      <c r="F41" s="6">
        <f t="shared" si="16"/>
        <v>0</v>
      </c>
      <c r="G41" s="2"/>
      <c r="H41" s="7">
        <v>-150</v>
      </c>
      <c r="I41" s="2"/>
      <c r="J41" s="6">
        <f t="shared" si="17"/>
        <v>0</v>
      </c>
      <c r="K41" s="2"/>
      <c r="L41" s="7">
        <f t="shared" si="18"/>
        <v>150</v>
      </c>
      <c r="M41" s="2"/>
      <c r="N41" s="6">
        <f t="shared" si="19"/>
        <v>-1</v>
      </c>
      <c r="O41" s="11"/>
      <c r="P41" s="7"/>
      <c r="Q41" s="2"/>
      <c r="R41" s="6">
        <f t="shared" si="20"/>
        <v>0</v>
      </c>
      <c r="S41" s="2"/>
      <c r="T41" s="7">
        <v>-150</v>
      </c>
      <c r="U41" s="2"/>
      <c r="V41" s="6">
        <f t="shared" si="21"/>
        <v>0</v>
      </c>
      <c r="W41" s="2"/>
      <c r="X41" s="7">
        <f t="shared" si="22"/>
        <v>150</v>
      </c>
      <c r="Y41" s="2"/>
      <c r="Z41" s="6">
        <f t="shared" si="23"/>
        <v>-1</v>
      </c>
    </row>
    <row r="42" spans="1:26" s="28" customFormat="1" outlineLevel="1" collapsed="1" x14ac:dyDescent="0.25">
      <c r="A42" s="27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SUM(OSRRefD22_3x_0)</f>
        <v>33.380000000000003</v>
      </c>
      <c r="E42" s="1"/>
      <c r="F42" s="5">
        <f t="shared" si="16"/>
        <v>0</v>
      </c>
      <c r="G42" s="1"/>
      <c r="H42" s="1">
        <f>SUM(OSRRefH22_3x_0)</f>
        <v>35</v>
      </c>
      <c r="I42" s="1"/>
      <c r="J42" s="5">
        <f t="shared" si="17"/>
        <v>0</v>
      </c>
      <c r="K42" s="1"/>
      <c r="L42" s="1">
        <f t="shared" si="18"/>
        <v>-1.6199999999999974</v>
      </c>
      <c r="M42" s="1"/>
      <c r="N42" s="5">
        <f t="shared" si="19"/>
        <v>-4.6285714285714215E-2</v>
      </c>
      <c r="O42" s="14"/>
      <c r="P42" s="1">
        <f>SUM(OSRRefP22_3x_0)</f>
        <v>100.14</v>
      </c>
      <c r="Q42" s="1"/>
      <c r="R42" s="5">
        <f t="shared" si="20"/>
        <v>0</v>
      </c>
      <c r="S42" s="1"/>
      <c r="T42" s="1">
        <f>SUM(OSRRefT22_3x_0)</f>
        <v>105</v>
      </c>
      <c r="U42" s="1"/>
      <c r="V42" s="5">
        <f t="shared" si="21"/>
        <v>0</v>
      </c>
      <c r="W42" s="1"/>
      <c r="X42" s="1">
        <f t="shared" si="22"/>
        <v>-4.8599999999999994</v>
      </c>
      <c r="Y42" s="1"/>
      <c r="Z42" s="5">
        <f t="shared" si="23"/>
        <v>-4.6285714285714277E-2</v>
      </c>
    </row>
    <row r="43" spans="1:26" s="24" customFormat="1" hidden="1" outlineLevel="2" x14ac:dyDescent="0.25">
      <c r="A43" s="29"/>
      <c r="B43" s="11" t="str">
        <f>CONCATENATE("          ", "6314", " - ", "LIABILITY INSURANCE")</f>
        <v xml:space="preserve">          6314 - LIABILITY INSURANCE</v>
      </c>
      <c r="C43" s="11"/>
      <c r="D43" s="7">
        <v>33.380000000000003</v>
      </c>
      <c r="E43" s="2"/>
      <c r="F43" s="6">
        <f t="shared" si="16"/>
        <v>0</v>
      </c>
      <c r="G43" s="2"/>
      <c r="H43" s="7">
        <v>35</v>
      </c>
      <c r="I43" s="2"/>
      <c r="J43" s="6">
        <f t="shared" si="17"/>
        <v>0</v>
      </c>
      <c r="K43" s="2"/>
      <c r="L43" s="7">
        <f t="shared" si="18"/>
        <v>-1.6199999999999974</v>
      </c>
      <c r="M43" s="2"/>
      <c r="N43" s="6">
        <f t="shared" si="19"/>
        <v>-4.6285714285714215E-2</v>
      </c>
      <c r="O43" s="11"/>
      <c r="P43" s="7">
        <v>100.14</v>
      </c>
      <c r="Q43" s="2"/>
      <c r="R43" s="6">
        <f t="shared" si="20"/>
        <v>0</v>
      </c>
      <c r="S43" s="2"/>
      <c r="T43" s="7">
        <v>105</v>
      </c>
      <c r="U43" s="2"/>
      <c r="V43" s="6">
        <f t="shared" si="21"/>
        <v>0</v>
      </c>
      <c r="W43" s="2"/>
      <c r="X43" s="7">
        <f t="shared" si="22"/>
        <v>-4.8599999999999994</v>
      </c>
      <c r="Y43" s="2"/>
      <c r="Z43" s="6">
        <f t="shared" si="23"/>
        <v>-4.6285714285714277E-2</v>
      </c>
    </row>
    <row r="44" spans="1:26" s="28" customFormat="1" outlineLevel="1" collapsed="1" x14ac:dyDescent="0.25">
      <c r="A44" s="27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SUM(OSRRefD22_4x_0)</f>
        <v>918.74</v>
      </c>
      <c r="E44" s="1"/>
      <c r="F44" s="5">
        <f t="shared" si="16"/>
        <v>0</v>
      </c>
      <c r="G44" s="1"/>
      <c r="H44" s="1">
        <f>SUM(OSRRefH22_4x_0)</f>
        <v>1500</v>
      </c>
      <c r="I44" s="1"/>
      <c r="J44" s="5">
        <f t="shared" si="17"/>
        <v>0</v>
      </c>
      <c r="K44" s="1"/>
      <c r="L44" s="1">
        <f t="shared" si="18"/>
        <v>-581.26</v>
      </c>
      <c r="M44" s="1"/>
      <c r="N44" s="5">
        <f t="shared" si="19"/>
        <v>-0.38750666666666667</v>
      </c>
      <c r="O44" s="14"/>
      <c r="P44" s="1">
        <f>SUM(OSRRefP22_4x_0)</f>
        <v>2729.46</v>
      </c>
      <c r="Q44" s="1"/>
      <c r="R44" s="5">
        <f t="shared" si="20"/>
        <v>0</v>
      </c>
      <c r="S44" s="1"/>
      <c r="T44" s="1">
        <f>SUM(OSRRefT22_4x_0)</f>
        <v>3100</v>
      </c>
      <c r="U44" s="1"/>
      <c r="V44" s="5">
        <f t="shared" si="21"/>
        <v>0</v>
      </c>
      <c r="W44" s="1"/>
      <c r="X44" s="1">
        <f t="shared" si="22"/>
        <v>-370.53999999999996</v>
      </c>
      <c r="Y44" s="1"/>
      <c r="Z44" s="5">
        <f t="shared" si="23"/>
        <v>-0.11952903225806451</v>
      </c>
    </row>
    <row r="45" spans="1:26" s="24" customFormat="1" hidden="1" outlineLevel="2" x14ac:dyDescent="0.25">
      <c r="A45" s="29"/>
      <c r="B45" s="11" t="str">
        <f>CONCATENATE("          ", "6373", " - ", "MAINTENANCE CONTRACTS")</f>
        <v xml:space="preserve">          6373 - MAINTENANCE CONTRACTS</v>
      </c>
      <c r="C45" s="11"/>
      <c r="D45" s="7">
        <v>918.74</v>
      </c>
      <c r="E45" s="2"/>
      <c r="F45" s="6">
        <f t="shared" si="16"/>
        <v>0</v>
      </c>
      <c r="G45" s="2"/>
      <c r="H45" s="7">
        <v>1500</v>
      </c>
      <c r="I45" s="2"/>
      <c r="J45" s="6">
        <f t="shared" si="17"/>
        <v>0</v>
      </c>
      <c r="K45" s="2"/>
      <c r="L45" s="7">
        <f t="shared" si="18"/>
        <v>-581.26</v>
      </c>
      <c r="M45" s="2"/>
      <c r="N45" s="6">
        <f t="shared" si="19"/>
        <v>-0.38750666666666667</v>
      </c>
      <c r="O45" s="11"/>
      <c r="P45" s="7">
        <v>2729.46</v>
      </c>
      <c r="Q45" s="2"/>
      <c r="R45" s="6">
        <f t="shared" si="20"/>
        <v>0</v>
      </c>
      <c r="S45" s="2"/>
      <c r="T45" s="7">
        <v>3100</v>
      </c>
      <c r="U45" s="2"/>
      <c r="V45" s="6">
        <f t="shared" si="21"/>
        <v>0</v>
      </c>
      <c r="W45" s="2"/>
      <c r="X45" s="7">
        <f t="shared" si="22"/>
        <v>-370.53999999999996</v>
      </c>
      <c r="Y45" s="2"/>
      <c r="Z45" s="6">
        <f t="shared" si="23"/>
        <v>-0.11952903225806451</v>
      </c>
    </row>
    <row r="46" spans="1:26" s="24" customFormat="1" hidden="1" outlineLevel="2" x14ac:dyDescent="0.25">
      <c r="A46" s="29"/>
      <c r="B46" s="11" t="str">
        <f>CONCATENATE("          ", "6375", " - ", "OUTSIDE REPAIRS &amp; MAINTENANCE")</f>
        <v xml:space="preserve">          6375 - OUTSIDE REPAIRS &amp; MAINTENANCE</v>
      </c>
      <c r="C46" s="11"/>
      <c r="D46" s="7"/>
      <c r="E46" s="2"/>
      <c r="F46" s="6">
        <f t="shared" si="16"/>
        <v>0</v>
      </c>
      <c r="G46" s="2"/>
      <c r="H46" s="7"/>
      <c r="I46" s="2"/>
      <c r="J46" s="6">
        <f t="shared" si="17"/>
        <v>0</v>
      </c>
      <c r="K46" s="2"/>
      <c r="L46" s="7">
        <f t="shared" si="18"/>
        <v>0</v>
      </c>
      <c r="M46" s="2"/>
      <c r="N46" s="6">
        <f t="shared" si="19"/>
        <v>0</v>
      </c>
      <c r="O46" s="11"/>
      <c r="P46" s="7">
        <v>0</v>
      </c>
      <c r="Q46" s="2"/>
      <c r="R46" s="6">
        <f t="shared" si="20"/>
        <v>0</v>
      </c>
      <c r="S46" s="2"/>
      <c r="T46" s="7"/>
      <c r="U46" s="2"/>
      <c r="V46" s="6">
        <f t="shared" si="21"/>
        <v>0</v>
      </c>
      <c r="W46" s="2"/>
      <c r="X46" s="7">
        <f t="shared" si="22"/>
        <v>0</v>
      </c>
      <c r="Y46" s="2"/>
      <c r="Z46" s="6">
        <f t="shared" si="23"/>
        <v>0</v>
      </c>
    </row>
    <row r="47" spans="1:26" s="28" customFormat="1" outlineLevel="1" collapsed="1" x14ac:dyDescent="0.25">
      <c r="A47" s="27"/>
      <c r="B47" s="14" t="str">
        <f>CONCATENATE("     ","Services                                          ")</f>
        <v xml:space="preserve">     Services                                          </v>
      </c>
      <c r="C47" s="14"/>
      <c r="D47" s="1">
        <f>SUM(OSRRefD22_5x_0)</f>
        <v>0</v>
      </c>
      <c r="E47" s="1"/>
      <c r="F47" s="5">
        <f t="shared" ref="F47:F52" si="24">IF(D$12=0,0,D47/D$12)</f>
        <v>0</v>
      </c>
      <c r="G47" s="1"/>
      <c r="H47" s="1">
        <f>SUM(OSRRefH22_5x_0)</f>
        <v>25</v>
      </c>
      <c r="I47" s="1"/>
      <c r="J47" s="5">
        <f t="shared" ref="J47:J52" si="25">IF(H$12=0,0,H47/H$12)</f>
        <v>0</v>
      </c>
      <c r="K47" s="1"/>
      <c r="L47" s="1">
        <f t="shared" ref="L47:L52" si="26">+D47-H47</f>
        <v>-25</v>
      </c>
      <c r="M47" s="1"/>
      <c r="N47" s="5">
        <f t="shared" ref="N47:N52" si="27">IF(H47=0,0,L47/H47)</f>
        <v>-1</v>
      </c>
      <c r="O47" s="14"/>
      <c r="P47" s="1">
        <f>SUM(OSRRefP22_5x_0)</f>
        <v>0</v>
      </c>
      <c r="Q47" s="1"/>
      <c r="R47" s="5">
        <f t="shared" ref="R47:R52" si="28">IF(P$12=0,0,P47/P$12)</f>
        <v>0</v>
      </c>
      <c r="S47" s="1"/>
      <c r="T47" s="1">
        <f>SUM(OSRRefT22_5x_0)</f>
        <v>75</v>
      </c>
      <c r="U47" s="1"/>
      <c r="V47" s="5">
        <f t="shared" ref="V47:V52" si="29">IF(T$12=0,0,T47/T$12)</f>
        <v>0</v>
      </c>
      <c r="W47" s="1"/>
      <c r="X47" s="1">
        <f t="shared" ref="X47:X52" si="30">+P47-T47</f>
        <v>-75</v>
      </c>
      <c r="Y47" s="1"/>
      <c r="Z47" s="5">
        <f t="shared" ref="Z47:Z52" si="31">IF(T47=0,0,X47/T47)</f>
        <v>-1</v>
      </c>
    </row>
    <row r="48" spans="1:26" s="24" customFormat="1" hidden="1" outlineLevel="2" x14ac:dyDescent="0.25">
      <c r="A48" s="29"/>
      <c r="B48" s="11" t="str">
        <f>CONCATENATE("          ", "6286", " - ", "LAUNDRY EXPENSE")</f>
        <v xml:space="preserve">          6286 - LAUNDRY EXPENSE</v>
      </c>
      <c r="C48" s="11"/>
      <c r="D48" s="7"/>
      <c r="E48" s="2"/>
      <c r="F48" s="6">
        <f t="shared" si="24"/>
        <v>0</v>
      </c>
      <c r="G48" s="2"/>
      <c r="H48" s="7">
        <v>25</v>
      </c>
      <c r="I48" s="2"/>
      <c r="J48" s="6">
        <f t="shared" si="25"/>
        <v>0</v>
      </c>
      <c r="K48" s="2"/>
      <c r="L48" s="7">
        <f t="shared" si="26"/>
        <v>-25</v>
      </c>
      <c r="M48" s="2"/>
      <c r="N48" s="6">
        <f t="shared" si="27"/>
        <v>-1</v>
      </c>
      <c r="O48" s="11"/>
      <c r="P48" s="7"/>
      <c r="Q48" s="2"/>
      <c r="R48" s="6">
        <f t="shared" si="28"/>
        <v>0</v>
      </c>
      <c r="S48" s="2"/>
      <c r="T48" s="7">
        <v>75</v>
      </c>
      <c r="U48" s="2"/>
      <c r="V48" s="6">
        <f t="shared" si="29"/>
        <v>0</v>
      </c>
      <c r="W48" s="2"/>
      <c r="X48" s="7">
        <f t="shared" si="30"/>
        <v>-75</v>
      </c>
      <c r="Y48" s="2"/>
      <c r="Z48" s="6">
        <f t="shared" si="31"/>
        <v>-1</v>
      </c>
    </row>
    <row r="49" spans="1:26" s="28" customFormat="1" outlineLevel="1" collapsed="1" x14ac:dyDescent="0.25">
      <c r="A49" s="27"/>
      <c r="B49" s="14" t="str">
        <f>CONCATENATE("     ","Supplies                                          ")</f>
        <v xml:space="preserve">     Supplies                                          </v>
      </c>
      <c r="C49" s="14"/>
      <c r="D49" s="1">
        <f>SUM(OSRRefD22_6x_0)</f>
        <v>0</v>
      </c>
      <c r="E49" s="1"/>
      <c r="F49" s="5">
        <f t="shared" si="24"/>
        <v>0</v>
      </c>
      <c r="G49" s="1"/>
      <c r="H49" s="1">
        <f>SUM(OSRRefH22_6x_0)</f>
        <v>25</v>
      </c>
      <c r="I49" s="1"/>
      <c r="J49" s="5">
        <f t="shared" si="25"/>
        <v>0</v>
      </c>
      <c r="K49" s="1"/>
      <c r="L49" s="1">
        <f t="shared" si="26"/>
        <v>-25</v>
      </c>
      <c r="M49" s="1"/>
      <c r="N49" s="5">
        <f t="shared" si="27"/>
        <v>-1</v>
      </c>
      <c r="O49" s="14"/>
      <c r="P49" s="1">
        <f>SUM(OSRRefP22_6x_0)</f>
        <v>26.1</v>
      </c>
      <c r="Q49" s="1"/>
      <c r="R49" s="5">
        <f t="shared" si="28"/>
        <v>0</v>
      </c>
      <c r="S49" s="1"/>
      <c r="T49" s="1">
        <f>SUM(OSRRefT22_6x_0)</f>
        <v>5075</v>
      </c>
      <c r="U49" s="1"/>
      <c r="V49" s="5">
        <f t="shared" si="29"/>
        <v>0</v>
      </c>
      <c r="W49" s="1"/>
      <c r="X49" s="1">
        <f t="shared" si="30"/>
        <v>-5048.8999999999996</v>
      </c>
      <c r="Y49" s="1"/>
      <c r="Z49" s="5">
        <f t="shared" si="31"/>
        <v>-0.99485714285714277</v>
      </c>
    </row>
    <row r="50" spans="1:26" s="24" customFormat="1" hidden="1" outlineLevel="2" x14ac:dyDescent="0.25">
      <c r="A50" s="29"/>
      <c r="B50" s="11" t="str">
        <f>CONCATENATE("          ", "6234", " - ", "EXPENDABLE SUPPLIES &amp; EQUIPMEN")</f>
        <v xml:space="preserve">          6234 - EXPENDABLE SUPPLIES &amp; EQUIPMEN</v>
      </c>
      <c r="C50" s="11"/>
      <c r="D50" s="7"/>
      <c r="E50" s="2"/>
      <c r="F50" s="6">
        <f t="shared" si="24"/>
        <v>0</v>
      </c>
      <c r="G50" s="2"/>
      <c r="H50" s="7"/>
      <c r="I50" s="2"/>
      <c r="J50" s="6">
        <f t="shared" si="25"/>
        <v>0</v>
      </c>
      <c r="K50" s="2"/>
      <c r="L50" s="7">
        <f t="shared" si="26"/>
        <v>0</v>
      </c>
      <c r="M50" s="2"/>
      <c r="N50" s="6">
        <f t="shared" si="27"/>
        <v>0</v>
      </c>
      <c r="O50" s="11"/>
      <c r="P50" s="7">
        <v>26.1</v>
      </c>
      <c r="Q50" s="2"/>
      <c r="R50" s="6">
        <f t="shared" si="28"/>
        <v>0</v>
      </c>
      <c r="S50" s="2"/>
      <c r="T50" s="7"/>
      <c r="U50" s="2"/>
      <c r="V50" s="6">
        <f t="shared" si="29"/>
        <v>0</v>
      </c>
      <c r="W50" s="2"/>
      <c r="X50" s="7">
        <f t="shared" si="30"/>
        <v>26.1</v>
      </c>
      <c r="Y50" s="2"/>
      <c r="Z50" s="6">
        <f t="shared" si="31"/>
        <v>0</v>
      </c>
    </row>
    <row r="51" spans="1:26" s="24" customFormat="1" hidden="1" outlineLevel="2" x14ac:dyDescent="0.25">
      <c r="A51" s="29"/>
      <c r="B51" s="11" t="str">
        <f>CONCATENATE("          ", "6241", " - ", "OFFICE EXPENSE")</f>
        <v xml:space="preserve">          6241 - OFFICE EXPENSE</v>
      </c>
      <c r="C51" s="11"/>
      <c r="D51" s="7"/>
      <c r="E51" s="2"/>
      <c r="F51" s="6">
        <f t="shared" si="24"/>
        <v>0</v>
      </c>
      <c r="G51" s="2"/>
      <c r="H51" s="7">
        <v>25</v>
      </c>
      <c r="I51" s="2"/>
      <c r="J51" s="6">
        <f t="shared" si="25"/>
        <v>0</v>
      </c>
      <c r="K51" s="2"/>
      <c r="L51" s="7">
        <f t="shared" si="26"/>
        <v>-25</v>
      </c>
      <c r="M51" s="2"/>
      <c r="N51" s="6">
        <f t="shared" si="27"/>
        <v>-1</v>
      </c>
      <c r="O51" s="11"/>
      <c r="P51" s="7"/>
      <c r="Q51" s="2"/>
      <c r="R51" s="6">
        <f t="shared" si="28"/>
        <v>0</v>
      </c>
      <c r="S51" s="2"/>
      <c r="T51" s="7">
        <v>75</v>
      </c>
      <c r="U51" s="2"/>
      <c r="V51" s="6">
        <f t="shared" si="29"/>
        <v>0</v>
      </c>
      <c r="W51" s="2"/>
      <c r="X51" s="7">
        <f t="shared" si="30"/>
        <v>-75</v>
      </c>
      <c r="Y51" s="2"/>
      <c r="Z51" s="6">
        <f t="shared" si="31"/>
        <v>-1</v>
      </c>
    </row>
    <row r="52" spans="1:26" s="24" customFormat="1" hidden="1" outlineLevel="2" x14ac:dyDescent="0.25">
      <c r="A52" s="29"/>
      <c r="B52" s="11" t="str">
        <f>CONCATENATE("          ", "6247", " - ", "STORE SUPPLIES")</f>
        <v xml:space="preserve">          6247 - STORE SUPPLIES</v>
      </c>
      <c r="C52" s="11"/>
      <c r="D52" s="7"/>
      <c r="E52" s="2"/>
      <c r="F52" s="6">
        <f t="shared" si="24"/>
        <v>0</v>
      </c>
      <c r="G52" s="2"/>
      <c r="H52" s="7"/>
      <c r="I52" s="2"/>
      <c r="J52" s="6">
        <f t="shared" si="25"/>
        <v>0</v>
      </c>
      <c r="K52" s="2"/>
      <c r="L52" s="7">
        <f t="shared" si="26"/>
        <v>0</v>
      </c>
      <c r="M52" s="2"/>
      <c r="N52" s="6">
        <f t="shared" si="27"/>
        <v>0</v>
      </c>
      <c r="O52" s="11"/>
      <c r="P52" s="7"/>
      <c r="Q52" s="2"/>
      <c r="R52" s="6">
        <f t="shared" si="28"/>
        <v>0</v>
      </c>
      <c r="S52" s="2"/>
      <c r="T52" s="7">
        <v>5000</v>
      </c>
      <c r="U52" s="2"/>
      <c r="V52" s="6">
        <f t="shared" si="29"/>
        <v>0</v>
      </c>
      <c r="W52" s="2"/>
      <c r="X52" s="7">
        <f t="shared" si="30"/>
        <v>-5000</v>
      </c>
      <c r="Y52" s="2"/>
      <c r="Z52" s="6">
        <f t="shared" si="31"/>
        <v>-1</v>
      </c>
    </row>
    <row r="53" spans="1:26" s="28" customFormat="1" outlineLevel="1" collapsed="1" x14ac:dyDescent="0.25">
      <c r="A53" s="27"/>
      <c r="B53" s="14" t="str">
        <f>CONCATENATE("     ","Telephone/Data Lines                              ")</f>
        <v xml:space="preserve">     Telephone/Data Lines                              </v>
      </c>
      <c r="C53" s="14"/>
      <c r="D53" s="1">
        <f>SUM(OSRRefD22_7x_0)</f>
        <v>98</v>
      </c>
      <c r="E53" s="1"/>
      <c r="F53" s="5">
        <f t="shared" ref="F53:F54" si="32">IF(D$12=0,0,D53/D$12)</f>
        <v>0</v>
      </c>
      <c r="G53" s="1"/>
      <c r="H53" s="1">
        <f>SUM(OSRRefH22_7x_0)</f>
        <v>125</v>
      </c>
      <c r="I53" s="1"/>
      <c r="J53" s="5">
        <f t="shared" ref="J53:J54" si="33">IF(H$12=0,0,H53/H$12)</f>
        <v>0</v>
      </c>
      <c r="K53" s="1"/>
      <c r="L53" s="1">
        <f t="shared" ref="L53:L54" si="34">+D53-H53</f>
        <v>-27</v>
      </c>
      <c r="M53" s="1"/>
      <c r="N53" s="5">
        <f t="shared" ref="N53:N54" si="35">IF(H53=0,0,L53/H53)</f>
        <v>-0.216</v>
      </c>
      <c r="O53" s="14"/>
      <c r="P53" s="1">
        <f>SUM(OSRRefP22_7x_0)</f>
        <v>244</v>
      </c>
      <c r="Q53" s="1"/>
      <c r="R53" s="5">
        <f t="shared" ref="R53:R54" si="36">IF(P$12=0,0,P53/P$12)</f>
        <v>0</v>
      </c>
      <c r="S53" s="1"/>
      <c r="T53" s="1">
        <f>SUM(OSRRefT22_7x_0)</f>
        <v>375</v>
      </c>
      <c r="U53" s="1"/>
      <c r="V53" s="5">
        <f t="shared" ref="V53:V54" si="37">IF(T$12=0,0,T53/T$12)</f>
        <v>0</v>
      </c>
      <c r="W53" s="1"/>
      <c r="X53" s="1">
        <f t="shared" ref="X53:X54" si="38">+P53-T53</f>
        <v>-131</v>
      </c>
      <c r="Y53" s="1"/>
      <c r="Z53" s="5">
        <f t="shared" ref="Z53:Z54" si="39">IF(T53=0,0,X53/T53)</f>
        <v>-0.34933333333333333</v>
      </c>
    </row>
    <row r="54" spans="1:26" s="24" customFormat="1" hidden="1" outlineLevel="2" x14ac:dyDescent="0.25">
      <c r="A54" s="29"/>
      <c r="B54" s="11" t="str">
        <f>CONCATENATE("          ", "6309", " - ", "TELEPHONE")</f>
        <v xml:space="preserve">          6309 - TELEPHONE</v>
      </c>
      <c r="C54" s="11"/>
      <c r="D54" s="7">
        <v>98</v>
      </c>
      <c r="E54" s="2"/>
      <c r="F54" s="6">
        <f t="shared" si="32"/>
        <v>0</v>
      </c>
      <c r="G54" s="2"/>
      <c r="H54" s="7">
        <v>125</v>
      </c>
      <c r="I54" s="2"/>
      <c r="J54" s="6">
        <f t="shared" si="33"/>
        <v>0</v>
      </c>
      <c r="K54" s="2"/>
      <c r="L54" s="7">
        <f t="shared" si="34"/>
        <v>-27</v>
      </c>
      <c r="M54" s="2"/>
      <c r="N54" s="6">
        <f t="shared" si="35"/>
        <v>-0.216</v>
      </c>
      <c r="O54" s="11"/>
      <c r="P54" s="7">
        <v>244</v>
      </c>
      <c r="Q54" s="2"/>
      <c r="R54" s="6">
        <f t="shared" si="36"/>
        <v>0</v>
      </c>
      <c r="S54" s="2"/>
      <c r="T54" s="7">
        <v>375</v>
      </c>
      <c r="U54" s="2"/>
      <c r="V54" s="6">
        <f t="shared" si="37"/>
        <v>0</v>
      </c>
      <c r="W54" s="2"/>
      <c r="X54" s="7">
        <f t="shared" si="38"/>
        <v>-131</v>
      </c>
      <c r="Y54" s="2"/>
      <c r="Z54" s="6">
        <f t="shared" si="39"/>
        <v>-0.34933333333333333</v>
      </c>
    </row>
    <row r="55" spans="1:26" s="58" customFormat="1" x14ac:dyDescent="0.25">
      <c r="A55" s="36"/>
      <c r="B55" s="36"/>
      <c r="C55" s="36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6" t="s">
        <v>293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5" t="s">
        <v>277</v>
      </c>
      <c r="C58" s="25"/>
      <c r="D58" s="21">
        <f>+D16-D18+D56</f>
        <v>-6279.6600000000008</v>
      </c>
      <c r="E58" s="13"/>
      <c r="F58" s="20">
        <f>IF(D$12=0,0,D58/D$12)</f>
        <v>0</v>
      </c>
      <c r="G58" s="13"/>
      <c r="H58" s="21">
        <f>+H16-H18+H56</f>
        <v>-7437.9665799999993</v>
      </c>
      <c r="I58" s="13"/>
      <c r="J58" s="20">
        <f>IF(H$12=0,0,H58/H$12)</f>
        <v>0</v>
      </c>
      <c r="K58" s="16"/>
      <c r="L58" s="21">
        <f>+D58-H58</f>
        <v>1158.3065799999986</v>
      </c>
      <c r="M58" s="16"/>
      <c r="N58" s="20">
        <f>IF(H58=0,0,L58/H58)</f>
        <v>-0.15572893041958233</v>
      </c>
      <c r="O58" s="26"/>
      <c r="P58" s="21">
        <f>+P16-P18+P56</f>
        <v>-22221.929999999997</v>
      </c>
      <c r="Q58" s="13"/>
      <c r="R58" s="20">
        <f>IF(P$12=0,0,P58/P$12)</f>
        <v>0</v>
      </c>
      <c r="S58" s="13"/>
      <c r="T58" s="21">
        <f>+T16-T18+T56</f>
        <v>-27639.641384999999</v>
      </c>
      <c r="U58" s="13"/>
      <c r="V58" s="20">
        <f>IF(T$12=0,0,T58/T$12)</f>
        <v>0</v>
      </c>
      <c r="W58" s="16"/>
      <c r="X58" s="21">
        <f>+P58-T58</f>
        <v>5417.7113850000023</v>
      </c>
      <c r="Y58" s="16"/>
      <c r="Z58" s="20">
        <f>IF(T58=0,0,X58/T58)</f>
        <v>-0.19601236172116865</v>
      </c>
    </row>
    <row r="59" spans="1:26" x14ac:dyDescent="0.2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52"/>
      <c r="B60" s="10" t="s">
        <v>128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5" t="s">
        <v>126</v>
      </c>
      <c r="C62" s="25"/>
      <c r="D62" s="33">
        <f>+D58-D60</f>
        <v>-6279.6600000000008</v>
      </c>
      <c r="E62" s="13"/>
      <c r="F62" s="31">
        <f>IF(D$12=0,0,D62/D$12)</f>
        <v>0</v>
      </c>
      <c r="G62" s="13"/>
      <c r="H62" s="33">
        <f>+H58-H60</f>
        <v>-7437.9665799999993</v>
      </c>
      <c r="I62" s="13"/>
      <c r="J62" s="31">
        <f>IF(H$12=0,0,H62/H$12)</f>
        <v>0</v>
      </c>
      <c r="K62" s="16"/>
      <c r="L62" s="33">
        <f>D62-H62</f>
        <v>1158.3065799999986</v>
      </c>
      <c r="M62" s="16"/>
      <c r="N62" s="31">
        <f>IF(H62=0,0,L62/H62)</f>
        <v>-0.15572893041958233</v>
      </c>
      <c r="O62" s="26"/>
      <c r="P62" s="33">
        <f>+P58-P60</f>
        <v>-22221.929999999997</v>
      </c>
      <c r="Q62" s="13"/>
      <c r="R62" s="31">
        <f>IF(P$12=0,0,P62/P$12)</f>
        <v>0</v>
      </c>
      <c r="S62" s="13"/>
      <c r="T62" s="33">
        <f>+T58-T60</f>
        <v>-27639.641384999999</v>
      </c>
      <c r="U62" s="13"/>
      <c r="V62" s="31">
        <f>IF(T$12=0,0,T62/T$12)</f>
        <v>0</v>
      </c>
      <c r="W62" s="16"/>
      <c r="X62" s="33">
        <f>P62-T62</f>
        <v>5417.7113850000023</v>
      </c>
      <c r="Y62" s="16"/>
      <c r="Z62" s="31">
        <f>IF(T62=0,0,X62/T62)</f>
        <v>-0.19601236172116865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5" t="s">
        <v>294</v>
      </c>
      <c r="C65" s="25"/>
      <c r="D65" s="35">
        <f>SUM(D62:D64)</f>
        <v>-6279.6600000000008</v>
      </c>
      <c r="E65" s="13"/>
      <c r="F65" s="34">
        <f>IF(D$12=0,0,D65/D$12)</f>
        <v>0</v>
      </c>
      <c r="G65" s="13"/>
      <c r="H65" s="35">
        <f>SUM(H62:H64)</f>
        <v>-7437.9665799999993</v>
      </c>
      <c r="I65" s="13"/>
      <c r="J65" s="34">
        <f>IF(H$12=0,0,H65/H$12)</f>
        <v>0</v>
      </c>
      <c r="K65" s="16"/>
      <c r="L65" s="35">
        <f>+D65-H65</f>
        <v>1158.3065799999986</v>
      </c>
      <c r="M65" s="16"/>
      <c r="N65" s="34">
        <f>IF(H65=0,0,L65/H65)</f>
        <v>-0.15572893041958233</v>
      </c>
      <c r="O65" s="26"/>
      <c r="P65" s="35">
        <f>SUM(P62:P64)</f>
        <v>-22221.929999999997</v>
      </c>
      <c r="Q65" s="13"/>
      <c r="R65" s="34">
        <f>IF(P$12=0,0,P65/P$12)</f>
        <v>0</v>
      </c>
      <c r="S65" s="13"/>
      <c r="T65" s="35">
        <f>SUM(T62:T64)</f>
        <v>-27639.641384999999</v>
      </c>
      <c r="U65" s="13"/>
      <c r="V65" s="34">
        <f>IF(T$12=0,0,T65/T$12)</f>
        <v>0</v>
      </c>
      <c r="W65" s="16"/>
      <c r="X65" s="35">
        <f>+P65-T65</f>
        <v>5417.7113850000023</v>
      </c>
      <c r="Y65" s="16"/>
      <c r="Z65" s="34">
        <f>IF(T65=0,0,X65/T65)</f>
        <v>-0.19601236172116865</v>
      </c>
    </row>
    <row r="66" spans="1:26" ht="15.75" thickTop="1" x14ac:dyDescent="0.25">
      <c r="A66" s="9"/>
      <c r="C66" s="9"/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6" x14ac:dyDescent="0.25">
      <c r="A67" s="9"/>
      <c r="B67" s="61">
        <v>44481.978956793981</v>
      </c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6" x14ac:dyDescent="0.25">
      <c r="A68" s="9"/>
      <c r="B68" s="56" t="s">
        <v>56</v>
      </c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25">
      <c r="A69" s="9"/>
      <c r="B69" s="54"/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outlinePr summaryBelow="0" summaryRight="0"/>
  </sheetPr>
  <dimension ref="A2:Z6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","206", " - ", "Communications")</f>
        <v>Department 206 - Communications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108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295</v>
      </c>
      <c r="C18" s="10"/>
      <c r="D18" s="22">
        <f>SUM(OSRRefD22x_0)</f>
        <v>7247</v>
      </c>
      <c r="E18" s="22"/>
      <c r="F18" s="32">
        <f t="shared" ref="F18:F28" si="0">IF(D$12=0,0,D18/D$12)</f>
        <v>0</v>
      </c>
      <c r="G18" s="22"/>
      <c r="H18" s="22">
        <f>SUM(OSRRefH22x_0)</f>
        <v>12432.674227692311</v>
      </c>
      <c r="I18" s="22"/>
      <c r="J18" s="32">
        <f t="shared" ref="J18:J28" si="1">IF(H$12=0,0,H18/H$12)</f>
        <v>0</v>
      </c>
      <c r="K18" s="4"/>
      <c r="L18" s="22">
        <f t="shared" ref="L18:L28" si="2">+D18-H18</f>
        <v>-5185.6742276923105</v>
      </c>
      <c r="M18" s="4"/>
      <c r="N18" s="32">
        <f t="shared" ref="N18:N28" si="3">IF(H18=0,0,L18/H18)</f>
        <v>-0.41710046710158583</v>
      </c>
      <c r="O18" s="10"/>
      <c r="P18" s="22">
        <f>SUM(OSRRefP22x_0)</f>
        <v>25540.41</v>
      </c>
      <c r="Q18" s="22"/>
      <c r="R18" s="32">
        <f t="shared" ref="R18:R28" si="4">IF(P$12=0,0,P18/P$12)</f>
        <v>0</v>
      </c>
      <c r="S18" s="22"/>
      <c r="T18" s="22">
        <f>SUM(OSRRefT22x_0)</f>
        <v>41190.19124</v>
      </c>
      <c r="U18" s="22"/>
      <c r="V18" s="32">
        <f t="shared" ref="V18:V28" si="5">IF(T$12=0,0,T18/T$12)</f>
        <v>0</v>
      </c>
      <c r="W18" s="4"/>
      <c r="X18" s="22">
        <f t="shared" ref="X18:X28" si="6">+P18-T18</f>
        <v>-15649.78124</v>
      </c>
      <c r="Y18" s="4"/>
      <c r="Z18" s="32">
        <f t="shared" ref="Z18:Z28" si="7">IF(T18=0,0,X18/T18)</f>
        <v>-0.37993951396861736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1787.88</v>
      </c>
      <c r="E19" s="1"/>
      <c r="F19" s="5">
        <f t="shared" si="0"/>
        <v>0</v>
      </c>
      <c r="G19" s="1"/>
      <c r="H19" s="1">
        <f>SUM(OSRRefH22_0x_0)</f>
        <v>2387.9942276923098</v>
      </c>
      <c r="I19" s="1"/>
      <c r="J19" s="5">
        <f t="shared" si="1"/>
        <v>0</v>
      </c>
      <c r="K19" s="1"/>
      <c r="L19" s="1">
        <f t="shared" si="2"/>
        <v>-600.11422769230967</v>
      </c>
      <c r="M19" s="1"/>
      <c r="N19" s="5">
        <f t="shared" si="3"/>
        <v>-0.25130472290640465</v>
      </c>
      <c r="O19" s="14"/>
      <c r="P19" s="1">
        <f>SUM(OSRRefP22_0x_0)</f>
        <v>5616.7399999999989</v>
      </c>
      <c r="Q19" s="1"/>
      <c r="R19" s="5">
        <f t="shared" si="4"/>
        <v>0</v>
      </c>
      <c r="S19" s="1"/>
      <c r="T19" s="1">
        <f>SUM(OSRRefT22_0x_0)</f>
        <v>7717.2312399999992</v>
      </c>
      <c r="U19" s="1"/>
      <c r="V19" s="5">
        <f t="shared" si="5"/>
        <v>0</v>
      </c>
      <c r="W19" s="1"/>
      <c r="X19" s="1">
        <f t="shared" si="6"/>
        <v>-2100.4912400000003</v>
      </c>
      <c r="Y19" s="1"/>
      <c r="Z19" s="5">
        <f t="shared" si="7"/>
        <v>-0.27218197494364577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342.58</v>
      </c>
      <c r="E20" s="2"/>
      <c r="F20" s="6">
        <f t="shared" si="0"/>
        <v>0</v>
      </c>
      <c r="G20" s="2"/>
      <c r="H20" s="7">
        <v>574.28111999999999</v>
      </c>
      <c r="I20" s="2"/>
      <c r="J20" s="6">
        <f t="shared" si="1"/>
        <v>0</v>
      </c>
      <c r="K20" s="2"/>
      <c r="L20" s="7">
        <f t="shared" si="2"/>
        <v>-231.70112</v>
      </c>
      <c r="M20" s="2"/>
      <c r="N20" s="6">
        <f t="shared" si="3"/>
        <v>-0.40346288939465746</v>
      </c>
      <c r="O20" s="11"/>
      <c r="P20" s="7">
        <v>1324.1</v>
      </c>
      <c r="Q20" s="2"/>
      <c r="R20" s="6">
        <f t="shared" si="4"/>
        <v>0</v>
      </c>
      <c r="S20" s="2"/>
      <c r="T20" s="7">
        <v>1866.41364</v>
      </c>
      <c r="U20" s="2"/>
      <c r="V20" s="6">
        <f t="shared" si="5"/>
        <v>0</v>
      </c>
      <c r="W20" s="2"/>
      <c r="X20" s="7">
        <f t="shared" si="6"/>
        <v>-542.31364000000008</v>
      </c>
      <c r="Y20" s="2"/>
      <c r="Z20" s="6">
        <f t="shared" si="7"/>
        <v>-0.29056455031050893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74.17</v>
      </c>
      <c r="E21" s="2"/>
      <c r="F21" s="6">
        <f t="shared" si="0"/>
        <v>0</v>
      </c>
      <c r="G21" s="2"/>
      <c r="H21" s="7">
        <v>23.2624</v>
      </c>
      <c r="I21" s="2"/>
      <c r="J21" s="6">
        <f t="shared" si="1"/>
        <v>0</v>
      </c>
      <c r="K21" s="2"/>
      <c r="L21" s="7">
        <f t="shared" si="2"/>
        <v>50.907600000000002</v>
      </c>
      <c r="M21" s="2"/>
      <c r="N21" s="6">
        <f t="shared" si="3"/>
        <v>2.188407043125387</v>
      </c>
      <c r="O21" s="11"/>
      <c r="P21" s="7">
        <v>239.2</v>
      </c>
      <c r="Q21" s="2"/>
      <c r="R21" s="6">
        <f t="shared" si="4"/>
        <v>0</v>
      </c>
      <c r="S21" s="2"/>
      <c r="T21" s="7">
        <v>75.602800000000002</v>
      </c>
      <c r="U21" s="2"/>
      <c r="V21" s="6">
        <f t="shared" si="5"/>
        <v>0</v>
      </c>
      <c r="W21" s="2"/>
      <c r="X21" s="7">
        <f t="shared" si="6"/>
        <v>163.59719999999999</v>
      </c>
      <c r="Y21" s="2"/>
      <c r="Z21" s="6">
        <f t="shared" si="7"/>
        <v>2.1639039823921862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712.12</v>
      </c>
      <c r="E22" s="2"/>
      <c r="F22" s="6">
        <f t="shared" si="0"/>
        <v>0</v>
      </c>
      <c r="G22" s="2"/>
      <c r="H22" s="7">
        <v>1275.6923076923099</v>
      </c>
      <c r="I22" s="2"/>
      <c r="J22" s="6">
        <f t="shared" si="1"/>
        <v>0</v>
      </c>
      <c r="K22" s="2"/>
      <c r="L22" s="7">
        <f t="shared" si="2"/>
        <v>-563.57230769230989</v>
      </c>
      <c r="M22" s="2"/>
      <c r="N22" s="6">
        <f t="shared" si="3"/>
        <v>-0.44177761698022289</v>
      </c>
      <c r="O22" s="11"/>
      <c r="P22" s="7">
        <v>2113.86</v>
      </c>
      <c r="Q22" s="2"/>
      <c r="R22" s="6">
        <f t="shared" si="4"/>
        <v>0</v>
      </c>
      <c r="S22" s="2"/>
      <c r="T22" s="7">
        <v>4146</v>
      </c>
      <c r="U22" s="2"/>
      <c r="V22" s="6">
        <f t="shared" si="5"/>
        <v>0</v>
      </c>
      <c r="W22" s="2"/>
      <c r="X22" s="7">
        <f t="shared" si="6"/>
        <v>-2032.1399999999999</v>
      </c>
      <c r="Y22" s="2"/>
      <c r="Z22" s="6">
        <f t="shared" si="7"/>
        <v>-0.4901447178002894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14.95</v>
      </c>
      <c r="E23" s="2"/>
      <c r="F23" s="6">
        <f t="shared" si="0"/>
        <v>0</v>
      </c>
      <c r="G23" s="2"/>
      <c r="H23" s="7">
        <v>15.7584</v>
      </c>
      <c r="I23" s="2"/>
      <c r="J23" s="6">
        <f t="shared" si="1"/>
        <v>0</v>
      </c>
      <c r="K23" s="2"/>
      <c r="L23" s="7">
        <f t="shared" si="2"/>
        <v>-0.80840000000000067</v>
      </c>
      <c r="M23" s="2"/>
      <c r="N23" s="6">
        <f t="shared" si="3"/>
        <v>-5.1299624327342919E-2</v>
      </c>
      <c r="O23" s="11"/>
      <c r="P23" s="7">
        <v>48.22</v>
      </c>
      <c r="Q23" s="2"/>
      <c r="R23" s="6">
        <f t="shared" si="4"/>
        <v>0</v>
      </c>
      <c r="S23" s="2"/>
      <c r="T23" s="7">
        <v>51.214799999999997</v>
      </c>
      <c r="U23" s="2"/>
      <c r="V23" s="6">
        <f t="shared" si="5"/>
        <v>0</v>
      </c>
      <c r="W23" s="2"/>
      <c r="X23" s="7">
        <f t="shared" si="6"/>
        <v>-2.9947999999999979</v>
      </c>
      <c r="Y23" s="2"/>
      <c r="Z23" s="6">
        <f t="shared" si="7"/>
        <v>-5.8475284488077629E-2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/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0</v>
      </c>
      <c r="Y24" s="2"/>
      <c r="Z24" s="6">
        <f t="shared" si="7"/>
        <v>0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276.60000000000002</v>
      </c>
      <c r="E26" s="2"/>
      <c r="F26" s="6">
        <f t="shared" si="0"/>
        <v>0</v>
      </c>
      <c r="G26" s="2"/>
      <c r="H26" s="7">
        <v>148.32</v>
      </c>
      <c r="I26" s="2"/>
      <c r="J26" s="6">
        <f t="shared" si="1"/>
        <v>0</v>
      </c>
      <c r="K26" s="2"/>
      <c r="L26" s="7">
        <f t="shared" si="2"/>
        <v>128.28000000000003</v>
      </c>
      <c r="M26" s="2"/>
      <c r="N26" s="6">
        <f t="shared" si="3"/>
        <v>0.86488673139158601</v>
      </c>
      <c r="O26" s="11"/>
      <c r="P26" s="7">
        <v>829.8</v>
      </c>
      <c r="Q26" s="2"/>
      <c r="R26" s="6">
        <f t="shared" si="4"/>
        <v>0</v>
      </c>
      <c r="S26" s="2"/>
      <c r="T26" s="7">
        <v>482.04</v>
      </c>
      <c r="U26" s="2"/>
      <c r="V26" s="6">
        <f t="shared" si="5"/>
        <v>0</v>
      </c>
      <c r="W26" s="2"/>
      <c r="X26" s="7">
        <f t="shared" si="6"/>
        <v>347.75999999999993</v>
      </c>
      <c r="Y26" s="2"/>
      <c r="Z26" s="6">
        <f t="shared" si="7"/>
        <v>0.72143390589992518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221.4</v>
      </c>
      <c r="E27" s="2"/>
      <c r="F27" s="6">
        <f t="shared" si="0"/>
        <v>0</v>
      </c>
      <c r="G27" s="2"/>
      <c r="H27" s="7">
        <v>175.68</v>
      </c>
      <c r="I27" s="2"/>
      <c r="J27" s="6">
        <f t="shared" si="1"/>
        <v>0</v>
      </c>
      <c r="K27" s="2"/>
      <c r="L27" s="7">
        <f t="shared" si="2"/>
        <v>45.72</v>
      </c>
      <c r="M27" s="2"/>
      <c r="N27" s="6">
        <f t="shared" si="3"/>
        <v>0.26024590163934425</v>
      </c>
      <c r="O27" s="11"/>
      <c r="P27" s="7">
        <v>664.2</v>
      </c>
      <c r="Q27" s="2"/>
      <c r="R27" s="6">
        <f t="shared" si="4"/>
        <v>0</v>
      </c>
      <c r="S27" s="2"/>
      <c r="T27" s="7">
        <v>570.96</v>
      </c>
      <c r="U27" s="2"/>
      <c r="V27" s="6">
        <f t="shared" si="5"/>
        <v>0</v>
      </c>
      <c r="W27" s="2"/>
      <c r="X27" s="7">
        <f t="shared" si="6"/>
        <v>93.240000000000009</v>
      </c>
      <c r="Y27" s="2"/>
      <c r="Z27" s="6">
        <f t="shared" si="7"/>
        <v>0.16330390920554855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146.06</v>
      </c>
      <c r="E28" s="2"/>
      <c r="F28" s="6">
        <f t="shared" si="0"/>
        <v>0</v>
      </c>
      <c r="G28" s="2"/>
      <c r="H28" s="7">
        <v>175</v>
      </c>
      <c r="I28" s="2"/>
      <c r="J28" s="6">
        <f t="shared" si="1"/>
        <v>0</v>
      </c>
      <c r="K28" s="2"/>
      <c r="L28" s="7">
        <f t="shared" si="2"/>
        <v>-28.939999999999998</v>
      </c>
      <c r="M28" s="2"/>
      <c r="N28" s="6">
        <f t="shared" si="3"/>
        <v>-0.16537142857142856</v>
      </c>
      <c r="O28" s="11"/>
      <c r="P28" s="7">
        <v>397.36</v>
      </c>
      <c r="Q28" s="2"/>
      <c r="R28" s="6">
        <f t="shared" si="4"/>
        <v>0</v>
      </c>
      <c r="S28" s="2"/>
      <c r="T28" s="7">
        <v>525</v>
      </c>
      <c r="U28" s="2"/>
      <c r="V28" s="6">
        <f t="shared" si="5"/>
        <v>0</v>
      </c>
      <c r="W28" s="2"/>
      <c r="X28" s="7">
        <f t="shared" si="6"/>
        <v>-127.63999999999999</v>
      </c>
      <c r="Y28" s="2"/>
      <c r="Z28" s="6">
        <f t="shared" si="7"/>
        <v>-0.24312380952380949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5369.52</v>
      </c>
      <c r="E29" s="1"/>
      <c r="F29" s="5">
        <f t="shared" ref="F29:F39" si="8">IF(D$12=0,0,D29/D$12)</f>
        <v>0</v>
      </c>
      <c r="G29" s="1"/>
      <c r="H29" s="1">
        <f>SUM(OSRRefH22_1x_0)</f>
        <v>7355.68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-1986.1599999999999</v>
      </c>
      <c r="M29" s="1"/>
      <c r="N29" s="5">
        <f t="shared" ref="N29:N39" si="11">IF(H29=0,0,L29/H29)</f>
        <v>-0.27001718399930391</v>
      </c>
      <c r="O29" s="14"/>
      <c r="P29" s="1">
        <f>SUM(OSRRefP22_1x_0)</f>
        <v>19275.79</v>
      </c>
      <c r="Q29" s="1"/>
      <c r="R29" s="5">
        <f t="shared" ref="R29:R39" si="12">IF(P$12=0,0,P29/P$12)</f>
        <v>0</v>
      </c>
      <c r="S29" s="1"/>
      <c r="T29" s="1">
        <f>SUM(OSRRefT22_1x_0)</f>
        <v>23905.96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-4630.1699999999983</v>
      </c>
      <c r="Y29" s="1"/>
      <c r="Z29" s="5">
        <f t="shared" ref="Z29:Z39" si="15">IF(T29=0,0,X29/T29)</f>
        <v>-0.19368266323544414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9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7">
        <v>4497</v>
      </c>
      <c r="E33" s="2"/>
      <c r="F33" s="6">
        <f t="shared" si="8"/>
        <v>0</v>
      </c>
      <c r="G33" s="2"/>
      <c r="H33" s="7">
        <v>4795.68</v>
      </c>
      <c r="I33" s="2"/>
      <c r="J33" s="6">
        <f t="shared" si="9"/>
        <v>0</v>
      </c>
      <c r="K33" s="2"/>
      <c r="L33" s="7">
        <f t="shared" si="10"/>
        <v>-298.68000000000029</v>
      </c>
      <c r="M33" s="2"/>
      <c r="N33" s="6">
        <f t="shared" si="11"/>
        <v>-6.2281052947652946E-2</v>
      </c>
      <c r="O33" s="11"/>
      <c r="P33" s="7">
        <v>13300.95</v>
      </c>
      <c r="Q33" s="2"/>
      <c r="R33" s="6">
        <f t="shared" si="12"/>
        <v>0</v>
      </c>
      <c r="S33" s="2"/>
      <c r="T33" s="7">
        <v>15585.96</v>
      </c>
      <c r="U33" s="2"/>
      <c r="V33" s="6">
        <f t="shared" si="13"/>
        <v>0</v>
      </c>
      <c r="W33" s="2"/>
      <c r="X33" s="7">
        <f t="shared" si="14"/>
        <v>-2285.0099999999984</v>
      </c>
      <c r="Y33" s="2"/>
      <c r="Z33" s="6">
        <f t="shared" si="15"/>
        <v>-0.14660694625162637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2560</v>
      </c>
      <c r="I36" s="2"/>
      <c r="J36" s="6">
        <f t="shared" si="9"/>
        <v>0</v>
      </c>
      <c r="K36" s="2"/>
      <c r="L36" s="7">
        <f t="shared" si="10"/>
        <v>-2560</v>
      </c>
      <c r="M36" s="2"/>
      <c r="N36" s="6">
        <f t="shared" si="11"/>
        <v>-1</v>
      </c>
      <c r="O36" s="11"/>
      <c r="P36" s="7">
        <v>0</v>
      </c>
      <c r="Q36" s="2"/>
      <c r="R36" s="6">
        <f t="shared" si="12"/>
        <v>0</v>
      </c>
      <c r="S36" s="2"/>
      <c r="T36" s="7">
        <v>8320</v>
      </c>
      <c r="U36" s="2"/>
      <c r="V36" s="6">
        <f t="shared" si="13"/>
        <v>0</v>
      </c>
      <c r="W36" s="2"/>
      <c r="X36" s="7">
        <f t="shared" si="14"/>
        <v>-8320</v>
      </c>
      <c r="Y36" s="2"/>
      <c r="Z36" s="6">
        <f t="shared" si="15"/>
        <v>-1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>
        <v>872.52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872.52</v>
      </c>
      <c r="M37" s="2"/>
      <c r="N37" s="6">
        <f t="shared" si="11"/>
        <v>0</v>
      </c>
      <c r="O37" s="11"/>
      <c r="P37" s="7">
        <v>5974.84</v>
      </c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5974.84</v>
      </c>
      <c r="Y37" s="2"/>
      <c r="Z37" s="6">
        <f t="shared" si="15"/>
        <v>0</v>
      </c>
    </row>
    <row r="38" spans="1:26" s="24" customFormat="1" hidden="1" outlineLevel="2" x14ac:dyDescent="0.25">
      <c r="A38" s="29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9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25">
      <c r="A40" s="27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53.6</v>
      </c>
      <c r="E40" s="1"/>
      <c r="F40" s="5">
        <f t="shared" ref="F40:F46" si="16">IF(D$12=0,0,D40/D$12)</f>
        <v>0</v>
      </c>
      <c r="G40" s="1"/>
      <c r="H40" s="1">
        <f>SUM(OSRRefH22_2x_0)</f>
        <v>417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-363.4</v>
      </c>
      <c r="M40" s="1"/>
      <c r="N40" s="5">
        <f t="shared" ref="N40:N46" si="19">IF(H40=0,0,L40/H40)</f>
        <v>-0.87146282973621103</v>
      </c>
      <c r="O40" s="14"/>
      <c r="P40" s="1">
        <f>SUM(OSRRefP22_2x_0)</f>
        <v>400.02</v>
      </c>
      <c r="Q40" s="1"/>
      <c r="R40" s="5">
        <f t="shared" ref="R40:R46" si="20">IF(P$12=0,0,P40/P$12)</f>
        <v>0</v>
      </c>
      <c r="S40" s="1"/>
      <c r="T40" s="1">
        <f>SUM(OSRRefT22_2x_0)</f>
        <v>1251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-850.98</v>
      </c>
      <c r="Y40" s="1"/>
      <c r="Z40" s="5">
        <f t="shared" ref="Z40:Z46" si="23">IF(T40=0,0,X40/T40)</f>
        <v>-0.68023980815347729</v>
      </c>
    </row>
    <row r="41" spans="1:26" s="24" customFormat="1" hidden="1" outlineLevel="2" x14ac:dyDescent="0.25">
      <c r="A41" s="29"/>
      <c r="B41" s="11" t="str">
        <f>CONCATENATE("          ", "6362", " - ", "ADVERTISING EXPENSE")</f>
        <v xml:space="preserve">          6362 - ADVERTISING EXPENSE</v>
      </c>
      <c r="C41" s="11"/>
      <c r="D41" s="7">
        <v>53.6</v>
      </c>
      <c r="E41" s="2"/>
      <c r="F41" s="6">
        <f t="shared" si="16"/>
        <v>0</v>
      </c>
      <c r="G41" s="2"/>
      <c r="H41" s="7">
        <v>417</v>
      </c>
      <c r="I41" s="2"/>
      <c r="J41" s="6">
        <f t="shared" si="17"/>
        <v>0</v>
      </c>
      <c r="K41" s="2"/>
      <c r="L41" s="7">
        <f t="shared" si="18"/>
        <v>-363.4</v>
      </c>
      <c r="M41" s="2"/>
      <c r="N41" s="6">
        <f t="shared" si="19"/>
        <v>-0.87146282973621103</v>
      </c>
      <c r="O41" s="11"/>
      <c r="P41" s="7">
        <v>400.02</v>
      </c>
      <c r="Q41" s="2"/>
      <c r="R41" s="6">
        <f t="shared" si="20"/>
        <v>0</v>
      </c>
      <c r="S41" s="2"/>
      <c r="T41" s="7">
        <v>1251</v>
      </c>
      <c r="U41" s="2"/>
      <c r="V41" s="6">
        <f t="shared" si="21"/>
        <v>0</v>
      </c>
      <c r="W41" s="2"/>
      <c r="X41" s="7">
        <f t="shared" si="22"/>
        <v>-850.98</v>
      </c>
      <c r="Y41" s="2"/>
      <c r="Z41" s="6">
        <f t="shared" si="23"/>
        <v>-0.68023980815347729</v>
      </c>
    </row>
    <row r="42" spans="1:26" s="28" customFormat="1" outlineLevel="1" collapsed="1" x14ac:dyDescent="0.25">
      <c r="A42" s="27"/>
      <c r="B42" s="14" t="str">
        <f>CONCATENATE("     ","Employees' Appreciation                           ")</f>
        <v xml:space="preserve">     Employees' Appreciation                           </v>
      </c>
      <c r="C42" s="14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4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500</v>
      </c>
      <c r="U42" s="1"/>
      <c r="V42" s="5">
        <f t="shared" si="21"/>
        <v>0</v>
      </c>
      <c r="W42" s="1"/>
      <c r="X42" s="1">
        <f t="shared" si="22"/>
        <v>-500</v>
      </c>
      <c r="Y42" s="1"/>
      <c r="Z42" s="5">
        <f t="shared" si="23"/>
        <v>-1</v>
      </c>
    </row>
    <row r="43" spans="1:26" s="24" customFormat="1" hidden="1" outlineLevel="2" x14ac:dyDescent="0.25">
      <c r="A43" s="29"/>
      <c r="B43" s="11" t="str">
        <f>CONCATENATE("          ", "6277", " - ", "EMPLOYEE APPRECIATION")</f>
        <v xml:space="preserve">          6277 - EMPLOYEE APPRECIATION</v>
      </c>
      <c r="C43" s="11"/>
      <c r="D43" s="7"/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0</v>
      </c>
      <c r="M43" s="2"/>
      <c r="N43" s="6">
        <f t="shared" si="19"/>
        <v>0</v>
      </c>
      <c r="O43" s="11"/>
      <c r="P43" s="7"/>
      <c r="Q43" s="2"/>
      <c r="R43" s="6">
        <f t="shared" si="20"/>
        <v>0</v>
      </c>
      <c r="S43" s="2"/>
      <c r="T43" s="7">
        <v>500</v>
      </c>
      <c r="U43" s="2"/>
      <c r="V43" s="6">
        <f t="shared" si="21"/>
        <v>0</v>
      </c>
      <c r="W43" s="2"/>
      <c r="X43" s="7">
        <f t="shared" si="22"/>
        <v>-500</v>
      </c>
      <c r="Y43" s="2"/>
      <c r="Z43" s="6">
        <f t="shared" si="23"/>
        <v>-1</v>
      </c>
    </row>
    <row r="44" spans="1:26" s="28" customFormat="1" outlineLevel="1" collapsed="1" x14ac:dyDescent="0.25">
      <c r="A44" s="27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1600</v>
      </c>
      <c r="I44" s="1"/>
      <c r="J44" s="5">
        <f t="shared" si="17"/>
        <v>0</v>
      </c>
      <c r="K44" s="1"/>
      <c r="L44" s="1">
        <f t="shared" si="18"/>
        <v>-1600</v>
      </c>
      <c r="M44" s="1"/>
      <c r="N44" s="5">
        <f t="shared" si="19"/>
        <v>-1</v>
      </c>
      <c r="O44" s="14"/>
      <c r="P44" s="1">
        <f>SUM(OSRRefP22_4x_0)</f>
        <v>63.36</v>
      </c>
      <c r="Q44" s="1"/>
      <c r="R44" s="5">
        <f t="shared" si="20"/>
        <v>0</v>
      </c>
      <c r="S44" s="1"/>
      <c r="T44" s="1">
        <f>SUM(OSRRefT22_4x_0)</f>
        <v>4800</v>
      </c>
      <c r="U44" s="1"/>
      <c r="V44" s="5">
        <f t="shared" si="21"/>
        <v>0</v>
      </c>
      <c r="W44" s="1"/>
      <c r="X44" s="1">
        <f t="shared" si="22"/>
        <v>-4736.6400000000003</v>
      </c>
      <c r="Y44" s="1"/>
      <c r="Z44" s="5">
        <f t="shared" si="23"/>
        <v>-0.98680000000000012</v>
      </c>
    </row>
    <row r="45" spans="1:26" s="24" customFormat="1" hidden="1" outlineLevel="2" x14ac:dyDescent="0.25">
      <c r="A45" s="29"/>
      <c r="B45" s="11" t="str">
        <f>CONCATENATE("          ", "6371", " - ", "COMPUTER SOFTWARE MAINTENANCE")</f>
        <v xml:space="preserve">          6371 - COMPUTER SOFTWARE MAINTENANCE</v>
      </c>
      <c r="C45" s="11"/>
      <c r="D45" s="7"/>
      <c r="E45" s="2"/>
      <c r="F45" s="6">
        <f t="shared" si="16"/>
        <v>0</v>
      </c>
      <c r="G45" s="2"/>
      <c r="H45" s="7">
        <v>1600</v>
      </c>
      <c r="I45" s="2"/>
      <c r="J45" s="6">
        <f t="shared" si="17"/>
        <v>0</v>
      </c>
      <c r="K45" s="2"/>
      <c r="L45" s="7">
        <f t="shared" si="18"/>
        <v>-1600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4800</v>
      </c>
      <c r="U45" s="2"/>
      <c r="V45" s="6">
        <f t="shared" si="21"/>
        <v>0</v>
      </c>
      <c r="W45" s="2"/>
      <c r="X45" s="7">
        <f t="shared" si="22"/>
        <v>-4800</v>
      </c>
      <c r="Y45" s="2"/>
      <c r="Z45" s="6">
        <f t="shared" si="23"/>
        <v>-1</v>
      </c>
    </row>
    <row r="46" spans="1:26" s="24" customFormat="1" hidden="1" outlineLevel="2" x14ac:dyDescent="0.25">
      <c r="A46" s="29"/>
      <c r="B46" s="11" t="str">
        <f>CONCATENATE("          ", "6375", " - ", "OUTSIDE REPAIRS &amp; MAINTENANCE")</f>
        <v xml:space="preserve">          6375 - OUTSIDE REPAIRS &amp; MAINTENANCE</v>
      </c>
      <c r="C46" s="11"/>
      <c r="D46" s="7"/>
      <c r="E46" s="2"/>
      <c r="F46" s="6">
        <f t="shared" si="16"/>
        <v>0</v>
      </c>
      <c r="G46" s="2"/>
      <c r="H46" s="7"/>
      <c r="I46" s="2"/>
      <c r="J46" s="6">
        <f t="shared" si="17"/>
        <v>0</v>
      </c>
      <c r="K46" s="2"/>
      <c r="L46" s="7">
        <f t="shared" si="18"/>
        <v>0</v>
      </c>
      <c r="M46" s="2"/>
      <c r="N46" s="6">
        <f t="shared" si="19"/>
        <v>0</v>
      </c>
      <c r="O46" s="11"/>
      <c r="P46" s="7">
        <v>63.36</v>
      </c>
      <c r="Q46" s="2"/>
      <c r="R46" s="6">
        <f t="shared" si="20"/>
        <v>0</v>
      </c>
      <c r="S46" s="2"/>
      <c r="T46" s="7"/>
      <c r="U46" s="2"/>
      <c r="V46" s="6">
        <f t="shared" si="21"/>
        <v>0</v>
      </c>
      <c r="W46" s="2"/>
      <c r="X46" s="7">
        <f t="shared" si="22"/>
        <v>63.36</v>
      </c>
      <c r="Y46" s="2"/>
      <c r="Z46" s="6">
        <f t="shared" si="23"/>
        <v>0</v>
      </c>
    </row>
    <row r="47" spans="1:26" s="28" customFormat="1" outlineLevel="1" collapsed="1" x14ac:dyDescent="0.25">
      <c r="A47" s="27"/>
      <c r="B47" s="14" t="str">
        <f>CONCATENATE("     ","Supplies                                          ")</f>
        <v xml:space="preserve">     Supplies                                          </v>
      </c>
      <c r="C47" s="14"/>
      <c r="D47" s="1">
        <f>SUM(OSRRefD22_5x_0)</f>
        <v>0</v>
      </c>
      <c r="E47" s="1"/>
      <c r="F47" s="5">
        <f t="shared" ref="F47:F51" si="24">IF(D$12=0,0,D47/D$12)</f>
        <v>0</v>
      </c>
      <c r="G47" s="1"/>
      <c r="H47" s="1">
        <f>SUM(OSRRefH22_5x_0)</f>
        <v>600</v>
      </c>
      <c r="I47" s="1"/>
      <c r="J47" s="5">
        <f t="shared" ref="J47:J51" si="25">IF(H$12=0,0,H47/H$12)</f>
        <v>0</v>
      </c>
      <c r="K47" s="1"/>
      <c r="L47" s="1">
        <f t="shared" ref="L47:L51" si="26">+D47-H47</f>
        <v>-600</v>
      </c>
      <c r="M47" s="1"/>
      <c r="N47" s="5">
        <f t="shared" ref="N47:N51" si="27">IF(H47=0,0,L47/H47)</f>
        <v>-1</v>
      </c>
      <c r="O47" s="14"/>
      <c r="P47" s="1">
        <f>SUM(OSRRefP22_5x_0)</f>
        <v>4.5</v>
      </c>
      <c r="Q47" s="1"/>
      <c r="R47" s="5">
        <f t="shared" ref="R47:R51" si="28">IF(P$12=0,0,P47/P$12)</f>
        <v>0</v>
      </c>
      <c r="S47" s="1"/>
      <c r="T47" s="1">
        <f>SUM(OSRRefT22_5x_0)</f>
        <v>1800</v>
      </c>
      <c r="U47" s="1"/>
      <c r="V47" s="5">
        <f t="shared" ref="V47:V51" si="29">IF(T$12=0,0,T47/T$12)</f>
        <v>0</v>
      </c>
      <c r="W47" s="1"/>
      <c r="X47" s="1">
        <f t="shared" ref="X47:X51" si="30">+P47-T47</f>
        <v>-1795.5</v>
      </c>
      <c r="Y47" s="1"/>
      <c r="Z47" s="5">
        <f t="shared" ref="Z47:Z51" si="31">IF(T47=0,0,X47/T47)</f>
        <v>-0.99750000000000005</v>
      </c>
    </row>
    <row r="48" spans="1:26" s="24" customFormat="1" hidden="1" outlineLevel="2" x14ac:dyDescent="0.25">
      <c r="A48" s="29"/>
      <c r="B48" s="11" t="str">
        <f>CONCATENATE("          ", "6241", " - ", "OFFICE EXPENSE")</f>
        <v xml:space="preserve">          6241 - OFFICE EXPENSE</v>
      </c>
      <c r="C48" s="11"/>
      <c r="D48" s="7"/>
      <c r="E48" s="2"/>
      <c r="F48" s="6">
        <f t="shared" si="24"/>
        <v>0</v>
      </c>
      <c r="G48" s="2"/>
      <c r="H48" s="7">
        <v>600</v>
      </c>
      <c r="I48" s="2"/>
      <c r="J48" s="6">
        <f t="shared" si="25"/>
        <v>0</v>
      </c>
      <c r="K48" s="2"/>
      <c r="L48" s="7">
        <f t="shared" si="26"/>
        <v>-600</v>
      </c>
      <c r="M48" s="2"/>
      <c r="N48" s="6">
        <f t="shared" si="27"/>
        <v>-1</v>
      </c>
      <c r="O48" s="11"/>
      <c r="P48" s="7">
        <v>4.5</v>
      </c>
      <c r="Q48" s="2"/>
      <c r="R48" s="6">
        <f t="shared" si="28"/>
        <v>0</v>
      </c>
      <c r="S48" s="2"/>
      <c r="T48" s="7">
        <v>1800</v>
      </c>
      <c r="U48" s="2"/>
      <c r="V48" s="6">
        <f t="shared" si="29"/>
        <v>0</v>
      </c>
      <c r="W48" s="2"/>
      <c r="X48" s="7">
        <f t="shared" si="30"/>
        <v>-1795.5</v>
      </c>
      <c r="Y48" s="2"/>
      <c r="Z48" s="6">
        <f t="shared" si="31"/>
        <v>-0.99750000000000005</v>
      </c>
    </row>
    <row r="49" spans="1:26" s="28" customFormat="1" outlineLevel="1" collapsed="1" x14ac:dyDescent="0.25">
      <c r="A49" s="27"/>
      <c r="B49" s="14" t="str">
        <f>CONCATENATE("     ","Telephone/Data Lines                              ")</f>
        <v xml:space="preserve">     Telephone/Data Lines                              </v>
      </c>
      <c r="C49" s="14"/>
      <c r="D49" s="1">
        <f>SUM(OSRRefD22_6x_0)</f>
        <v>36</v>
      </c>
      <c r="E49" s="1"/>
      <c r="F49" s="5">
        <f t="shared" si="24"/>
        <v>0</v>
      </c>
      <c r="G49" s="1"/>
      <c r="H49" s="1">
        <f>SUM(OSRRefH22_6x_0)</f>
        <v>72</v>
      </c>
      <c r="I49" s="1"/>
      <c r="J49" s="5">
        <f t="shared" si="25"/>
        <v>0</v>
      </c>
      <c r="K49" s="1"/>
      <c r="L49" s="1">
        <f t="shared" si="26"/>
        <v>-36</v>
      </c>
      <c r="M49" s="1"/>
      <c r="N49" s="5">
        <f t="shared" si="27"/>
        <v>-0.5</v>
      </c>
      <c r="O49" s="14"/>
      <c r="P49" s="1">
        <f>SUM(OSRRefP22_6x_0)</f>
        <v>180</v>
      </c>
      <c r="Q49" s="1"/>
      <c r="R49" s="5">
        <f t="shared" si="28"/>
        <v>0</v>
      </c>
      <c r="S49" s="1"/>
      <c r="T49" s="1">
        <f>SUM(OSRRefT22_6x_0)</f>
        <v>216</v>
      </c>
      <c r="U49" s="1"/>
      <c r="V49" s="5">
        <f t="shared" si="29"/>
        <v>0</v>
      </c>
      <c r="W49" s="1"/>
      <c r="X49" s="1">
        <f t="shared" si="30"/>
        <v>-36</v>
      </c>
      <c r="Y49" s="1"/>
      <c r="Z49" s="5">
        <f t="shared" si="31"/>
        <v>-0.16666666666666666</v>
      </c>
    </row>
    <row r="50" spans="1:26" s="24" customFormat="1" hidden="1" outlineLevel="2" x14ac:dyDescent="0.25">
      <c r="A50" s="29"/>
      <c r="B50" s="11" t="str">
        <f>CONCATENATE("          ", "6303", " - ", "DATA PHONE LINES")</f>
        <v xml:space="preserve">          6303 - DATA PHONE LINES</v>
      </c>
      <c r="C50" s="11"/>
      <c r="D50" s="7"/>
      <c r="E50" s="2"/>
      <c r="F50" s="6">
        <f t="shared" si="24"/>
        <v>0</v>
      </c>
      <c r="G50" s="2"/>
      <c r="H50" s="7">
        <v>36</v>
      </c>
      <c r="I50" s="2"/>
      <c r="J50" s="6">
        <f t="shared" si="25"/>
        <v>0</v>
      </c>
      <c r="K50" s="2"/>
      <c r="L50" s="7">
        <f t="shared" si="26"/>
        <v>-36</v>
      </c>
      <c r="M50" s="2"/>
      <c r="N50" s="6">
        <f t="shared" si="27"/>
        <v>-1</v>
      </c>
      <c r="O50" s="11"/>
      <c r="P50" s="7"/>
      <c r="Q50" s="2"/>
      <c r="R50" s="6">
        <f t="shared" si="28"/>
        <v>0</v>
      </c>
      <c r="S50" s="2"/>
      <c r="T50" s="7">
        <v>108</v>
      </c>
      <c r="U50" s="2"/>
      <c r="V50" s="6">
        <f t="shared" si="29"/>
        <v>0</v>
      </c>
      <c r="W50" s="2"/>
      <c r="X50" s="7">
        <f t="shared" si="30"/>
        <v>-108</v>
      </c>
      <c r="Y50" s="2"/>
      <c r="Z50" s="6">
        <f t="shared" si="31"/>
        <v>-1</v>
      </c>
    </row>
    <row r="51" spans="1:26" s="24" customFormat="1" hidden="1" outlineLevel="2" x14ac:dyDescent="0.25">
      <c r="A51" s="29"/>
      <c r="B51" s="11" t="str">
        <f>CONCATENATE("          ", "6309", " - ", "TELEPHONE")</f>
        <v xml:space="preserve">          6309 - TELEPHONE</v>
      </c>
      <c r="C51" s="11"/>
      <c r="D51" s="7">
        <v>36</v>
      </c>
      <c r="E51" s="2"/>
      <c r="F51" s="6">
        <f t="shared" si="24"/>
        <v>0</v>
      </c>
      <c r="G51" s="2"/>
      <c r="H51" s="7">
        <v>36</v>
      </c>
      <c r="I51" s="2"/>
      <c r="J51" s="6">
        <f t="shared" si="25"/>
        <v>0</v>
      </c>
      <c r="K51" s="2"/>
      <c r="L51" s="7">
        <f t="shared" si="26"/>
        <v>0</v>
      </c>
      <c r="M51" s="2"/>
      <c r="N51" s="6">
        <f t="shared" si="27"/>
        <v>0</v>
      </c>
      <c r="O51" s="11"/>
      <c r="P51" s="7">
        <v>180</v>
      </c>
      <c r="Q51" s="2"/>
      <c r="R51" s="6">
        <f t="shared" si="28"/>
        <v>0</v>
      </c>
      <c r="S51" s="2"/>
      <c r="T51" s="7">
        <v>108</v>
      </c>
      <c r="U51" s="2"/>
      <c r="V51" s="6">
        <f t="shared" si="29"/>
        <v>0</v>
      </c>
      <c r="W51" s="2"/>
      <c r="X51" s="7">
        <f t="shared" si="30"/>
        <v>72</v>
      </c>
      <c r="Y51" s="2"/>
      <c r="Z51" s="6">
        <f t="shared" si="31"/>
        <v>0.66666666666666663</v>
      </c>
    </row>
    <row r="52" spans="1:26" s="28" customFormat="1" outlineLevel="1" collapsed="1" x14ac:dyDescent="0.25">
      <c r="A52" s="27"/>
      <c r="B52" s="14" t="str">
        <f>CONCATENATE("     ","Training                                          ")</f>
        <v xml:space="preserve">     Training                                          </v>
      </c>
      <c r="C52" s="14"/>
      <c r="D52" s="1">
        <f>SUM(OSRRefD22_7x_0)</f>
        <v>0</v>
      </c>
      <c r="E52" s="1"/>
      <c r="F52" s="5">
        <f t="shared" ref="F52:F53" si="32">IF(D$12=0,0,D52/D$12)</f>
        <v>0</v>
      </c>
      <c r="G52" s="1"/>
      <c r="H52" s="1">
        <f>SUM(OSRRefH22_7x_0)</f>
        <v>0</v>
      </c>
      <c r="I52" s="1"/>
      <c r="J52" s="5">
        <f t="shared" ref="J52:J53" si="33">IF(H$12=0,0,H52/H$12)</f>
        <v>0</v>
      </c>
      <c r="K52" s="1"/>
      <c r="L52" s="1">
        <f t="shared" ref="L52:L53" si="34">+D52-H52</f>
        <v>0</v>
      </c>
      <c r="M52" s="1"/>
      <c r="N52" s="5">
        <f t="shared" ref="N52:N53" si="35">IF(H52=0,0,L52/H52)</f>
        <v>0</v>
      </c>
      <c r="O52" s="14"/>
      <c r="P52" s="1">
        <f>SUM(OSRRefP22_7x_0)</f>
        <v>0</v>
      </c>
      <c r="Q52" s="1"/>
      <c r="R52" s="5">
        <f t="shared" ref="R52:R53" si="36">IF(P$12=0,0,P52/P$12)</f>
        <v>0</v>
      </c>
      <c r="S52" s="1"/>
      <c r="T52" s="1">
        <f>SUM(OSRRefT22_7x_0)</f>
        <v>1000</v>
      </c>
      <c r="U52" s="1"/>
      <c r="V52" s="5">
        <f t="shared" ref="V52:V53" si="37">IF(T$12=0,0,T52/T$12)</f>
        <v>0</v>
      </c>
      <c r="W52" s="1"/>
      <c r="X52" s="1">
        <f t="shared" ref="X52:X53" si="38">+P52-T52</f>
        <v>-1000</v>
      </c>
      <c r="Y52" s="1"/>
      <c r="Z52" s="5">
        <f t="shared" ref="Z52:Z53" si="39">IF(T52=0,0,X52/T52)</f>
        <v>-1</v>
      </c>
    </row>
    <row r="53" spans="1:26" s="24" customFormat="1" hidden="1" outlineLevel="2" x14ac:dyDescent="0.25">
      <c r="A53" s="29"/>
      <c r="B53" s="11" t="str">
        <f>CONCATENATE("          ", "6376", " - ", "TRAINING")</f>
        <v xml:space="preserve">          6376 - TRAINING</v>
      </c>
      <c r="C53" s="11"/>
      <c r="D53" s="7"/>
      <c r="E53" s="2"/>
      <c r="F53" s="6">
        <f t="shared" si="32"/>
        <v>0</v>
      </c>
      <c r="G53" s="2"/>
      <c r="H53" s="7"/>
      <c r="I53" s="2"/>
      <c r="J53" s="6">
        <f t="shared" si="33"/>
        <v>0</v>
      </c>
      <c r="K53" s="2"/>
      <c r="L53" s="7">
        <f t="shared" si="34"/>
        <v>0</v>
      </c>
      <c r="M53" s="2"/>
      <c r="N53" s="6">
        <f t="shared" si="35"/>
        <v>0</v>
      </c>
      <c r="O53" s="11"/>
      <c r="P53" s="7"/>
      <c r="Q53" s="2"/>
      <c r="R53" s="6">
        <f t="shared" si="36"/>
        <v>0</v>
      </c>
      <c r="S53" s="2"/>
      <c r="T53" s="7">
        <v>1000</v>
      </c>
      <c r="U53" s="2"/>
      <c r="V53" s="6">
        <f t="shared" si="37"/>
        <v>0</v>
      </c>
      <c r="W53" s="2"/>
      <c r="X53" s="7">
        <f t="shared" si="38"/>
        <v>-1000</v>
      </c>
      <c r="Y53" s="2"/>
      <c r="Z53" s="6">
        <f t="shared" si="39"/>
        <v>-1</v>
      </c>
    </row>
    <row r="54" spans="1:26" s="58" customFormat="1" x14ac:dyDescent="0.25">
      <c r="A54" s="36"/>
      <c r="B54" s="36"/>
      <c r="C54" s="36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6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6" t="s">
        <v>293</v>
      </c>
      <c r="C55" s="10"/>
      <c r="D55" s="4">
        <f>SUM(0)</f>
        <v>0</v>
      </c>
      <c r="E55" s="4"/>
      <c r="F55" s="12">
        <f>IF(D$12=0,0,D55/D$12)</f>
        <v>0</v>
      </c>
      <c r="G55" s="4"/>
      <c r="H55" s="4">
        <f>SUM(0)</f>
        <v>0</v>
      </c>
      <c r="I55" s="4"/>
      <c r="J55" s="12">
        <f>IF(H$12=0,0,H55/H$12)</f>
        <v>0</v>
      </c>
      <c r="K55" s="4"/>
      <c r="L55" s="4">
        <f>+D55-H55</f>
        <v>0</v>
      </c>
      <c r="M55" s="4"/>
      <c r="N55" s="12">
        <f>IF(H55=0,0,L55/H55)</f>
        <v>0</v>
      </c>
      <c r="O55" s="10"/>
      <c r="P55" s="4">
        <f>SUM(0)</f>
        <v>0</v>
      </c>
      <c r="Q55" s="4"/>
      <c r="R55" s="12">
        <f>IF(P$12=0,0,P55/P$12)</f>
        <v>0</v>
      </c>
      <c r="S55" s="4"/>
      <c r="T55" s="4">
        <f>SUM(0)</f>
        <v>0</v>
      </c>
      <c r="U55" s="4"/>
      <c r="V55" s="12">
        <f>IF(T$12=0,0,T55/T$12)</f>
        <v>0</v>
      </c>
      <c r="W55" s="4"/>
      <c r="X55" s="4">
        <f>+P55-T55</f>
        <v>0</v>
      </c>
      <c r="Y55" s="4"/>
      <c r="Z55" s="12">
        <f>IF(T55=0,0,X55/T55)</f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10"/>
      <c r="B57" s="25" t="s">
        <v>277</v>
      </c>
      <c r="C57" s="25"/>
      <c r="D57" s="21">
        <f>+D16-D18+D55</f>
        <v>-7247</v>
      </c>
      <c r="E57" s="13"/>
      <c r="F57" s="20">
        <f>IF(D$12=0,0,D57/D$12)</f>
        <v>0</v>
      </c>
      <c r="G57" s="13"/>
      <c r="H57" s="21">
        <f>+H16-H18+H55</f>
        <v>-12432.674227692311</v>
      </c>
      <c r="I57" s="13"/>
      <c r="J57" s="20">
        <f>IF(H$12=0,0,H57/H$12)</f>
        <v>0</v>
      </c>
      <c r="K57" s="16"/>
      <c r="L57" s="21">
        <f>+D57-H57</f>
        <v>5185.6742276923105</v>
      </c>
      <c r="M57" s="16"/>
      <c r="N57" s="20">
        <f>IF(H57=0,0,L57/H57)</f>
        <v>-0.41710046710158583</v>
      </c>
      <c r="O57" s="26"/>
      <c r="P57" s="21">
        <f>+P16-P18+P55</f>
        <v>-25540.41</v>
      </c>
      <c r="Q57" s="13"/>
      <c r="R57" s="20">
        <f>IF(P$12=0,0,P57/P$12)</f>
        <v>0</v>
      </c>
      <c r="S57" s="13"/>
      <c r="T57" s="21">
        <f>+T16-T18+T55</f>
        <v>-41190.19124</v>
      </c>
      <c r="U57" s="13"/>
      <c r="V57" s="20">
        <f>IF(T$12=0,0,T57/T$12)</f>
        <v>0</v>
      </c>
      <c r="W57" s="16"/>
      <c r="X57" s="21">
        <f>+P57-T57</f>
        <v>15649.78124</v>
      </c>
      <c r="Y57" s="16"/>
      <c r="Z57" s="20">
        <f>IF(T57=0,0,X57/T57)</f>
        <v>-0.37993951396861736</v>
      </c>
    </row>
    <row r="58" spans="1:26" x14ac:dyDescent="0.25">
      <c r="A58" s="9"/>
      <c r="B58" s="10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52"/>
      <c r="B59" s="10" t="s">
        <v>128</v>
      </c>
      <c r="C59" s="10"/>
      <c r="D59" s="4"/>
      <c r="E59" s="4"/>
      <c r="F59" s="12">
        <f>IF(D$12=0,0,D59/D$12)</f>
        <v>0</v>
      </c>
      <c r="G59" s="4"/>
      <c r="H59" s="4"/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/>
      <c r="Q59" s="4"/>
      <c r="R59" s="12">
        <f>IF(P$12=0,0,P59/P$12)</f>
        <v>0</v>
      </c>
      <c r="S59" s="4"/>
      <c r="T59" s="4"/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ht="15.75" thickBot="1" x14ac:dyDescent="0.3">
      <c r="A61" s="10"/>
      <c r="B61" s="25" t="s">
        <v>126</v>
      </c>
      <c r="C61" s="25"/>
      <c r="D61" s="33">
        <f>+D57-D59</f>
        <v>-7247</v>
      </c>
      <c r="E61" s="13"/>
      <c r="F61" s="31">
        <f>IF(D$12=0,0,D61/D$12)</f>
        <v>0</v>
      </c>
      <c r="G61" s="13"/>
      <c r="H61" s="33">
        <f>+H57-H59</f>
        <v>-12432.674227692311</v>
      </c>
      <c r="I61" s="13"/>
      <c r="J61" s="31">
        <f>IF(H$12=0,0,H61/H$12)</f>
        <v>0</v>
      </c>
      <c r="K61" s="16"/>
      <c r="L61" s="33">
        <f>D61-H61</f>
        <v>5185.6742276923105</v>
      </c>
      <c r="M61" s="16"/>
      <c r="N61" s="31">
        <f>IF(H61=0,0,L61/H61)</f>
        <v>-0.41710046710158583</v>
      </c>
      <c r="O61" s="26"/>
      <c r="P61" s="33">
        <f>+P57-P59</f>
        <v>-25540.41</v>
      </c>
      <c r="Q61" s="13"/>
      <c r="R61" s="31">
        <f>IF(P$12=0,0,P61/P$12)</f>
        <v>0</v>
      </c>
      <c r="S61" s="13"/>
      <c r="T61" s="33">
        <f>+T57-T59</f>
        <v>-41190.19124</v>
      </c>
      <c r="U61" s="13"/>
      <c r="V61" s="31">
        <f>IF(T$12=0,0,T61/T$12)</f>
        <v>0</v>
      </c>
      <c r="W61" s="16"/>
      <c r="X61" s="33">
        <f>P61-T61</f>
        <v>15649.78124</v>
      </c>
      <c r="Y61" s="16"/>
      <c r="Z61" s="31">
        <f>IF(T61=0,0,X61/T61)</f>
        <v>-0.37993951396861736</v>
      </c>
    </row>
    <row r="62" spans="1:26" ht="15.75" thickTop="1" x14ac:dyDescent="0.25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5" t="s">
        <v>294</v>
      </c>
      <c r="C64" s="25"/>
      <c r="D64" s="35">
        <f>SUM(D61:D63)</f>
        <v>-7247</v>
      </c>
      <c r="E64" s="13"/>
      <c r="F64" s="34">
        <f>IF(D$12=0,0,D64/D$12)</f>
        <v>0</v>
      </c>
      <c r="G64" s="13"/>
      <c r="H64" s="35">
        <f>SUM(H61:H63)</f>
        <v>-12432.674227692311</v>
      </c>
      <c r="I64" s="13"/>
      <c r="J64" s="34">
        <f>IF(H$12=0,0,H64/H$12)</f>
        <v>0</v>
      </c>
      <c r="K64" s="16"/>
      <c r="L64" s="35">
        <f>+D64-H64</f>
        <v>5185.6742276923105</v>
      </c>
      <c r="M64" s="16"/>
      <c r="N64" s="34">
        <f>IF(H64=0,0,L64/H64)</f>
        <v>-0.41710046710158583</v>
      </c>
      <c r="O64" s="26"/>
      <c r="P64" s="35">
        <f>SUM(P61:P63)</f>
        <v>-25540.41</v>
      </c>
      <c r="Q64" s="13"/>
      <c r="R64" s="34">
        <f>IF(P$12=0,0,P64/P$12)</f>
        <v>0</v>
      </c>
      <c r="S64" s="13"/>
      <c r="T64" s="35">
        <f>SUM(T61:T63)</f>
        <v>-41190.19124</v>
      </c>
      <c r="U64" s="13"/>
      <c r="V64" s="34">
        <f>IF(T$12=0,0,T64/T$12)</f>
        <v>0</v>
      </c>
      <c r="W64" s="16"/>
      <c r="X64" s="35">
        <f>+P64-T64</f>
        <v>15649.78124</v>
      </c>
      <c r="Y64" s="16"/>
      <c r="Z64" s="34">
        <f>IF(T64=0,0,X64/T64)</f>
        <v>-0.37993951396861736</v>
      </c>
    </row>
    <row r="65" spans="1:24" ht="15.75" thickTop="1" x14ac:dyDescent="0.25">
      <c r="A65" s="9"/>
      <c r="C65" s="9"/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  <row r="66" spans="1:24" x14ac:dyDescent="0.25">
      <c r="A66" s="9"/>
      <c r="B66" s="61">
        <v>44481.978956793981</v>
      </c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4" x14ac:dyDescent="0.25">
      <c r="A67" s="9"/>
      <c r="B67" s="56" t="s">
        <v>56</v>
      </c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4" x14ac:dyDescent="0.25">
      <c r="A68" s="9"/>
      <c r="B68" s="54"/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4" x14ac:dyDescent="0.25"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outlinePr summaryBelow="0" summaryRight="0"/>
  </sheetPr>
  <dimension ref="A2:Z16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107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600565.54000000015</v>
      </c>
      <c r="E12" s="4"/>
      <c r="F12" s="12"/>
      <c r="G12" s="4"/>
      <c r="H12" s="4">
        <f>SUM(OSRRefH13x_0)</f>
        <v>860120</v>
      </c>
      <c r="I12" s="4"/>
      <c r="J12" s="12"/>
      <c r="K12" s="4"/>
      <c r="L12" s="4">
        <f t="shared" ref="L12:L20" si="0">+D12-H12</f>
        <v>-259554.45999999985</v>
      </c>
      <c r="M12" s="4"/>
      <c r="N12" s="12">
        <f t="shared" ref="N12:N20" si="1">IF(H12=0,0,L12/H12)</f>
        <v>-0.30176540482723324</v>
      </c>
      <c r="O12" s="10"/>
      <c r="P12" s="4">
        <f>SUM(OSRRefP13x_0)</f>
        <v>2340523.3499999996</v>
      </c>
      <c r="Q12" s="4"/>
      <c r="R12" s="12"/>
      <c r="S12" s="4"/>
      <c r="T12" s="4">
        <f>SUM(OSRRefT13x_0)</f>
        <v>3944109</v>
      </c>
      <c r="U12" s="4"/>
      <c r="V12" s="12"/>
      <c r="W12" s="4"/>
      <c r="X12" s="4">
        <f t="shared" ref="X12:X20" si="2">+P12-T12</f>
        <v>-1603585.6500000004</v>
      </c>
      <c r="Y12" s="4"/>
      <c r="Z12" s="12">
        <f t="shared" ref="Z12:Z20" si="3">IF(T12=0,0,X12/T12)</f>
        <v>-0.4065774171048519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--486744.8</f>
        <v>486744.8</v>
      </c>
      <c r="E13" s="2"/>
      <c r="F13" s="19"/>
      <c r="G13" s="2"/>
      <c r="H13" s="2">
        <v>787219</v>
      </c>
      <c r="I13" s="2"/>
      <c r="J13" s="19"/>
      <c r="K13" s="2"/>
      <c r="L13" s="2">
        <f t="shared" si="0"/>
        <v>-300474.2</v>
      </c>
      <c r="M13" s="2"/>
      <c r="N13" s="19">
        <f t="shared" si="1"/>
        <v>-0.38169073663110265</v>
      </c>
      <c r="O13" s="11"/>
      <c r="P13" s="2">
        <f>--1895446.43</f>
        <v>1895446.43</v>
      </c>
      <c r="Q13" s="2"/>
      <c r="R13" s="19"/>
      <c r="S13" s="2"/>
      <c r="T13" s="2">
        <v>3845111</v>
      </c>
      <c r="U13" s="2"/>
      <c r="V13" s="19"/>
      <c r="W13" s="2"/>
      <c r="X13" s="2">
        <f t="shared" si="2"/>
        <v>-1949664.57</v>
      </c>
      <c r="Y13" s="2"/>
      <c r="Z13" s="19">
        <f t="shared" si="3"/>
        <v>-0.50705026981015633</v>
      </c>
    </row>
    <row r="14" spans="1:26" s="24" customFormat="1" hidden="1" outlineLevel="1" x14ac:dyDescent="0.25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>--139.09</f>
        <v>139.09</v>
      </c>
      <c r="E14" s="2"/>
      <c r="F14" s="19"/>
      <c r="G14" s="2"/>
      <c r="H14" s="2"/>
      <c r="I14" s="2"/>
      <c r="J14" s="19"/>
      <c r="K14" s="2"/>
      <c r="L14" s="2">
        <f t="shared" si="0"/>
        <v>139.09</v>
      </c>
      <c r="M14" s="2"/>
      <c r="N14" s="19">
        <f t="shared" si="1"/>
        <v>0</v>
      </c>
      <c r="O14" s="11"/>
      <c r="P14" s="2">
        <f>--139.09</f>
        <v>139.09</v>
      </c>
      <c r="Q14" s="2"/>
      <c r="R14" s="19"/>
      <c r="S14" s="2"/>
      <c r="T14" s="2"/>
      <c r="U14" s="2"/>
      <c r="V14" s="19"/>
      <c r="W14" s="2"/>
      <c r="X14" s="2">
        <f t="shared" si="2"/>
        <v>139.09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--134343.25</f>
        <v>134343.25</v>
      </c>
      <c r="E15" s="2"/>
      <c r="F15" s="19"/>
      <c r="G15" s="2"/>
      <c r="H15" s="2">
        <v>72901</v>
      </c>
      <c r="I15" s="2"/>
      <c r="J15" s="19"/>
      <c r="K15" s="2"/>
      <c r="L15" s="2">
        <f t="shared" si="0"/>
        <v>61442.25</v>
      </c>
      <c r="M15" s="2"/>
      <c r="N15" s="19">
        <f t="shared" si="1"/>
        <v>0.84281765682226584</v>
      </c>
      <c r="O15" s="11"/>
      <c r="P15" s="2">
        <f>--505543.48</f>
        <v>505543.48</v>
      </c>
      <c r="Q15" s="2"/>
      <c r="R15" s="19"/>
      <c r="S15" s="2"/>
      <c r="T15" s="2">
        <v>98998</v>
      </c>
      <c r="U15" s="2"/>
      <c r="V15" s="19"/>
      <c r="W15" s="2"/>
      <c r="X15" s="2">
        <f t="shared" si="2"/>
        <v>406545.48</v>
      </c>
      <c r="Y15" s="2"/>
      <c r="Z15" s="19">
        <f t="shared" si="3"/>
        <v>4.1066029616759936</v>
      </c>
    </row>
    <row r="16" spans="1:26" s="24" customFormat="1" hidden="1" outlineLevel="1" x14ac:dyDescent="0.25">
      <c r="A16" s="44"/>
      <c r="B16" s="11" t="str">
        <f>CONCATENATE("          ", "4141", " - ", "NON-TAXABLE SALES-LOGO GIFTS")</f>
        <v xml:space="preserve">          4141 - NON-TAXABLE SALES-LOGO GIFTS</v>
      </c>
      <c r="C16" s="11"/>
      <c r="D16" s="2">
        <f>--71.05</f>
        <v>71.05</v>
      </c>
      <c r="E16" s="2"/>
      <c r="F16" s="19"/>
      <c r="G16" s="2"/>
      <c r="H16" s="2"/>
      <c r="I16" s="2"/>
      <c r="J16" s="19"/>
      <c r="K16" s="2"/>
      <c r="L16" s="2">
        <f t="shared" si="0"/>
        <v>71.05</v>
      </c>
      <c r="M16" s="2"/>
      <c r="N16" s="19">
        <f t="shared" si="1"/>
        <v>0</v>
      </c>
      <c r="O16" s="11"/>
      <c r="P16" s="2">
        <f>--460.55</f>
        <v>460.55</v>
      </c>
      <c r="Q16" s="2"/>
      <c r="R16" s="19"/>
      <c r="S16" s="2"/>
      <c r="T16" s="2"/>
      <c r="U16" s="2"/>
      <c r="V16" s="19"/>
      <c r="W16" s="2"/>
      <c r="X16" s="2">
        <f t="shared" si="2"/>
        <v>460.55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"4146", " - ", "NON-TAXABLE SALES-COIN OP MACH")</f>
        <v xml:space="preserve">          4146 - NON-TAXABLE SALES-COIN OP MACH</v>
      </c>
      <c r="C17" s="11"/>
      <c r="D17" s="2">
        <f>--4759.35</f>
        <v>4759.3500000000004</v>
      </c>
      <c r="E17" s="2"/>
      <c r="F17" s="19"/>
      <c r="G17" s="2"/>
      <c r="H17" s="2"/>
      <c r="I17" s="2"/>
      <c r="J17" s="19"/>
      <c r="K17" s="2"/>
      <c r="L17" s="2">
        <f t="shared" si="0"/>
        <v>4759.3500000000004</v>
      </c>
      <c r="M17" s="2"/>
      <c r="N17" s="19">
        <f t="shared" si="1"/>
        <v>0</v>
      </c>
      <c r="O17" s="11"/>
      <c r="P17" s="2">
        <f>--7492.95</f>
        <v>7492.95</v>
      </c>
      <c r="Q17" s="2"/>
      <c r="R17" s="19"/>
      <c r="S17" s="2"/>
      <c r="T17" s="2"/>
      <c r="U17" s="2"/>
      <c r="V17" s="19"/>
      <c r="W17" s="2"/>
      <c r="X17" s="2">
        <f t="shared" si="2"/>
        <v>7492.95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"4153", " - ", "NON-TAXABLE SALES-FOOD")</f>
        <v xml:space="preserve">          4153 - NON-TAXABLE SALES-FOOD</v>
      </c>
      <c r="C18" s="11"/>
      <c r="D18" s="2">
        <f>-130.35</f>
        <v>-130.35</v>
      </c>
      <c r="E18" s="2"/>
      <c r="F18" s="19"/>
      <c r="G18" s="2"/>
      <c r="H18" s="2"/>
      <c r="I18" s="2"/>
      <c r="J18" s="19"/>
      <c r="K18" s="2"/>
      <c r="L18" s="2">
        <f t="shared" si="0"/>
        <v>-130.35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/>
      <c r="U18" s="2"/>
      <c r="V18" s="19"/>
      <c r="W18" s="2"/>
      <c r="X18" s="2">
        <f t="shared" si="2"/>
        <v>0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"4200", " - ", "TAXABLE RETURNS")</f>
        <v xml:space="preserve">          4200 - TAXABLE RETURNS</v>
      </c>
      <c r="C19" s="11"/>
      <c r="D19" s="2">
        <f>-22646.07</f>
        <v>-22646.07</v>
      </c>
      <c r="E19" s="2"/>
      <c r="F19" s="19"/>
      <c r="G19" s="2"/>
      <c r="H19" s="2"/>
      <c r="I19" s="2"/>
      <c r="J19" s="19"/>
      <c r="K19" s="2"/>
      <c r="L19" s="2">
        <f t="shared" si="0"/>
        <v>-22646.07</v>
      </c>
      <c r="M19" s="2"/>
      <c r="N19" s="19">
        <f t="shared" si="1"/>
        <v>0</v>
      </c>
      <c r="O19" s="11"/>
      <c r="P19" s="2">
        <f>-48452.91</f>
        <v>-48452.91</v>
      </c>
      <c r="Q19" s="2"/>
      <c r="R19" s="19"/>
      <c r="S19" s="2"/>
      <c r="T19" s="2"/>
      <c r="U19" s="2"/>
      <c r="V19" s="19"/>
      <c r="W19" s="2"/>
      <c r="X19" s="2">
        <f t="shared" si="2"/>
        <v>-48452.91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"4300", " - ", "NON-TAX RETURNS")</f>
        <v xml:space="preserve">          4300 - NON-TAX RETURNS</v>
      </c>
      <c r="C20" s="11"/>
      <c r="D20" s="2">
        <f>-2715.58</f>
        <v>-2715.58</v>
      </c>
      <c r="E20" s="2"/>
      <c r="F20" s="19"/>
      <c r="G20" s="2"/>
      <c r="H20" s="2"/>
      <c r="I20" s="2"/>
      <c r="J20" s="19"/>
      <c r="K20" s="2"/>
      <c r="L20" s="2">
        <f t="shared" si="0"/>
        <v>-2715.58</v>
      </c>
      <c r="M20" s="2"/>
      <c r="N20" s="19">
        <f t="shared" si="1"/>
        <v>0</v>
      </c>
      <c r="O20" s="11"/>
      <c r="P20" s="2">
        <f>-20106.24</f>
        <v>-20106.240000000002</v>
      </c>
      <c r="Q20" s="2"/>
      <c r="R20" s="19"/>
      <c r="S20" s="2"/>
      <c r="T20" s="2"/>
      <c r="U20" s="2"/>
      <c r="V20" s="19"/>
      <c r="W20" s="2"/>
      <c r="X20" s="2">
        <f t="shared" si="2"/>
        <v>-20106.240000000002</v>
      </c>
      <c r="Y20" s="2"/>
      <c r="Z20" s="19">
        <f t="shared" si="3"/>
        <v>0</v>
      </c>
    </row>
    <row r="21" spans="1:26" x14ac:dyDescent="0.25">
      <c r="A21" s="9"/>
      <c r="B21" s="10"/>
      <c r="C21" s="9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collapsed="1" x14ac:dyDescent="0.25">
      <c r="A22" s="10"/>
      <c r="B22" s="26" t="s">
        <v>257</v>
      </c>
      <c r="C22" s="10"/>
      <c r="D22" s="4">
        <f>SUM(OSRRefD16x_0)</f>
        <v>393284.00999999995</v>
      </c>
      <c r="E22" s="4"/>
      <c r="F22" s="12">
        <f t="shared" ref="F22:F51" si="4">IF(D$12=0,0,D22/D$12)</f>
        <v>0.6548561044644684</v>
      </c>
      <c r="G22" s="4"/>
      <c r="H22" s="4">
        <f>SUM(OSRRefH16x_0)</f>
        <v>522513</v>
      </c>
      <c r="I22" s="4"/>
      <c r="J22" s="12">
        <f t="shared" ref="J22:J51" si="5">IF(H$12=0,0,H22/H$12)</f>
        <v>0.60748848997814253</v>
      </c>
      <c r="K22" s="4"/>
      <c r="L22" s="4">
        <f t="shared" ref="L22:L51" si="6">+D22-H22</f>
        <v>-129228.99000000005</v>
      </c>
      <c r="M22" s="4"/>
      <c r="N22" s="12">
        <f t="shared" ref="N22:N51" si="7">IF(H22=0,0,L22/H22)</f>
        <v>-0.24732205705886753</v>
      </c>
      <c r="O22" s="10"/>
      <c r="P22" s="4">
        <f>SUM(OSRRefP16x_0)</f>
        <v>1516289.98</v>
      </c>
      <c r="Q22" s="4"/>
      <c r="R22" s="12">
        <f t="shared" ref="R22:R51" si="8">IF(P$12=0,0,P22/P$12)</f>
        <v>0.64784227852287835</v>
      </c>
      <c r="S22" s="4"/>
      <c r="T22" s="4">
        <f>SUM(OSRRefT16x_0)</f>
        <v>2587865</v>
      </c>
      <c r="U22" s="4"/>
      <c r="V22" s="12">
        <f t="shared" ref="V22:V51" si="9">IF(T$12=0,0,T22/T$12)</f>
        <v>0.65613424983944413</v>
      </c>
      <c r="W22" s="4"/>
      <c r="X22" s="4">
        <f t="shared" ref="X22:X51" si="10">+P22-T22</f>
        <v>-1071575.02</v>
      </c>
      <c r="Y22" s="4"/>
      <c r="Z22" s="12">
        <f t="shared" ref="Z22:Z51" si="11">IF(T22=0,0,X22/T22)</f>
        <v>-0.41407686258749976</v>
      </c>
    </row>
    <row r="23" spans="1:26" s="24" customFormat="1" hidden="1" outlineLevel="1" x14ac:dyDescent="0.25">
      <c r="A23" s="44"/>
      <c r="B23" s="11" t="str">
        <f>CONCATENATE("          ", "5000", " - ", "PURCHASES @ COST")</f>
        <v xml:space="preserve">          5000 - PURCHASES @ COST</v>
      </c>
      <c r="C23" s="11"/>
      <c r="D23" s="2">
        <v>726303.95</v>
      </c>
      <c r="E23" s="2"/>
      <c r="F23" s="19">
        <f t="shared" si="4"/>
        <v>1.2093666746180605</v>
      </c>
      <c r="G23" s="2"/>
      <c r="H23" s="2">
        <v>522513</v>
      </c>
      <c r="I23" s="2"/>
      <c r="J23" s="19">
        <f t="shared" si="5"/>
        <v>0.60748848997814253</v>
      </c>
      <c r="K23" s="2"/>
      <c r="L23" s="2">
        <f t="shared" si="6"/>
        <v>203790.94999999995</v>
      </c>
      <c r="M23" s="2"/>
      <c r="N23" s="19">
        <f t="shared" si="7"/>
        <v>0.39002082244843661</v>
      </c>
      <c r="O23" s="11"/>
      <c r="P23" s="2">
        <v>1571258.59</v>
      </c>
      <c r="Q23" s="2"/>
      <c r="R23" s="19">
        <f t="shared" si="8"/>
        <v>0.67132788485105277</v>
      </c>
      <c r="S23" s="2"/>
      <c r="T23" s="2">
        <v>2587865</v>
      </c>
      <c r="U23" s="2"/>
      <c r="V23" s="19">
        <f t="shared" si="9"/>
        <v>0.65613424983944413</v>
      </c>
      <c r="W23" s="2"/>
      <c r="X23" s="2">
        <f t="shared" si="10"/>
        <v>-1016606.4099999999</v>
      </c>
      <c r="Y23" s="2"/>
      <c r="Z23" s="19">
        <f t="shared" si="11"/>
        <v>-0.39283595164353624</v>
      </c>
    </row>
    <row r="24" spans="1:26" s="24" customFormat="1" hidden="1" outlineLevel="1" x14ac:dyDescent="0.25">
      <c r="A24" s="44"/>
      <c r="B24" s="11" t="str">
        <f>CONCATENATE("          ", "5001", " - ", "PURCHASES @ COST-NEW TEXT")</f>
        <v xml:space="preserve">          5001 - PURCHASES @ COST-NEW TEXT</v>
      </c>
      <c r="C24" s="11"/>
      <c r="D24" s="2">
        <v>0</v>
      </c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25">
      <c r="A25" s="44"/>
      <c r="B25" s="11" t="str">
        <f>CONCATENATE("          ", "5002", " - ", "PURCHASES @ COST-USED TEXT")</f>
        <v xml:space="preserve">          5002 - PURCHASES @ COST-USED TEXT</v>
      </c>
      <c r="C25" s="11"/>
      <c r="D25" s="2">
        <v>0</v>
      </c>
      <c r="E25" s="2"/>
      <c r="F25" s="19">
        <f t="shared" si="4"/>
        <v>0</v>
      </c>
      <c r="G25" s="2"/>
      <c r="H25" s="2"/>
      <c r="I25" s="2"/>
      <c r="J25" s="19">
        <f t="shared" si="5"/>
        <v>0</v>
      </c>
      <c r="K25" s="2"/>
      <c r="L25" s="2">
        <f t="shared" si="6"/>
        <v>0</v>
      </c>
      <c r="M25" s="2"/>
      <c r="N25" s="19">
        <f t="shared" si="7"/>
        <v>0</v>
      </c>
      <c r="O25" s="11"/>
      <c r="P25" s="2">
        <v>0</v>
      </c>
      <c r="Q25" s="2"/>
      <c r="R25" s="19">
        <f t="shared" si="8"/>
        <v>0</v>
      </c>
      <c r="S25" s="2"/>
      <c r="T25" s="2"/>
      <c r="U25" s="2"/>
      <c r="V25" s="19">
        <f t="shared" si="9"/>
        <v>0</v>
      </c>
      <c r="W25" s="2"/>
      <c r="X25" s="2">
        <f t="shared" si="10"/>
        <v>0</v>
      </c>
      <c r="Y25" s="2"/>
      <c r="Z25" s="19">
        <f t="shared" si="11"/>
        <v>0</v>
      </c>
    </row>
    <row r="26" spans="1:26" s="24" customFormat="1" hidden="1" outlineLevel="1" x14ac:dyDescent="0.25">
      <c r="A26" s="44"/>
      <c r="B26" s="11" t="str">
        <f>CONCATENATE("          ", "5004", " - ", "PURCHASES @ COST-DIGITAL TEXT")</f>
        <v xml:space="preserve">          5004 - PURCHASES @ COST-DIGITAL TEXT</v>
      </c>
      <c r="C26" s="11"/>
      <c r="D26" s="2">
        <v>0</v>
      </c>
      <c r="E26" s="2"/>
      <c r="F26" s="19">
        <f t="shared" si="4"/>
        <v>0</v>
      </c>
      <c r="G26" s="2"/>
      <c r="H26" s="2"/>
      <c r="I26" s="2"/>
      <c r="J26" s="19">
        <f t="shared" si="5"/>
        <v>0</v>
      </c>
      <c r="K26" s="2"/>
      <c r="L26" s="2">
        <f t="shared" si="6"/>
        <v>0</v>
      </c>
      <c r="M26" s="2"/>
      <c r="N26" s="19">
        <f t="shared" si="7"/>
        <v>0</v>
      </c>
      <c r="O26" s="11"/>
      <c r="P26" s="2">
        <v>0</v>
      </c>
      <c r="Q26" s="2"/>
      <c r="R26" s="19">
        <f t="shared" si="8"/>
        <v>0</v>
      </c>
      <c r="S26" s="2"/>
      <c r="T26" s="2"/>
      <c r="U26" s="2"/>
      <c r="V26" s="19">
        <f t="shared" si="9"/>
        <v>0</v>
      </c>
      <c r="W26" s="2"/>
      <c r="X26" s="2">
        <f t="shared" si="10"/>
        <v>0</v>
      </c>
      <c r="Y26" s="2"/>
      <c r="Z26" s="19">
        <f t="shared" si="11"/>
        <v>0</v>
      </c>
    </row>
    <row r="27" spans="1:26" s="24" customFormat="1" hidden="1" outlineLevel="1" x14ac:dyDescent="0.25">
      <c r="A27" s="44"/>
      <c r="B27" s="11" t="str">
        <f>CONCATENATE("          ", "5026", " - ", "PURCHASES @ COST-WRITING INSTR")</f>
        <v xml:space="preserve">          5026 - PURCHASES @ COST-WRITING INSTR</v>
      </c>
      <c r="C27" s="11"/>
      <c r="D27" s="2"/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25">
      <c r="A28" s="44"/>
      <c r="B28" s="11" t="str">
        <f>CONCATENATE("          ", "5027", " - ", "PURCHASES @ COST-SCHOOL SUPPLI")</f>
        <v xml:space="preserve">          5027 - PURCHASES @ COST-SCHOOL SUPPLI</v>
      </c>
      <c r="C28" s="11"/>
      <c r="D28" s="2">
        <v>0</v>
      </c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25">
      <c r="A29" s="44"/>
      <c r="B29" s="11" t="str">
        <f>CONCATENATE("          ", "5028", " - ", "PURCHASES @ COST-ART/TECH")</f>
        <v xml:space="preserve">          5028 - PURCHASES @ COST-ART/TECH</v>
      </c>
      <c r="C29" s="11"/>
      <c r="D29" s="2">
        <v>0</v>
      </c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s="24" customFormat="1" hidden="1" outlineLevel="1" x14ac:dyDescent="0.25">
      <c r="A30" s="44"/>
      <c r="B30" s="11" t="str">
        <f>CONCATENATE("          ", "5031", " - ", "PURCHASES @ COST-FOOD")</f>
        <v xml:space="preserve">          5031 - PURCHASES @ COST-FOOD</v>
      </c>
      <c r="C30" s="11"/>
      <c r="D30" s="2">
        <v>0</v>
      </c>
      <c r="E30" s="2"/>
      <c r="F30" s="19">
        <f t="shared" si="4"/>
        <v>0</v>
      </c>
      <c r="G30" s="2"/>
      <c r="H30" s="2"/>
      <c r="I30" s="2"/>
      <c r="J30" s="19">
        <f t="shared" si="5"/>
        <v>0</v>
      </c>
      <c r="K30" s="2"/>
      <c r="L30" s="2">
        <f t="shared" si="6"/>
        <v>0</v>
      </c>
      <c r="M30" s="2"/>
      <c r="N30" s="19">
        <f t="shared" si="7"/>
        <v>0</v>
      </c>
      <c r="O30" s="11"/>
      <c r="P30" s="2">
        <v>0</v>
      </c>
      <c r="Q30" s="2"/>
      <c r="R30" s="19">
        <f t="shared" si="8"/>
        <v>0</v>
      </c>
      <c r="S30" s="2"/>
      <c r="T30" s="2"/>
      <c r="U30" s="2"/>
      <c r="V30" s="19">
        <f t="shared" si="9"/>
        <v>0</v>
      </c>
      <c r="W30" s="2"/>
      <c r="X30" s="2">
        <f t="shared" si="10"/>
        <v>0</v>
      </c>
      <c r="Y30" s="2"/>
      <c r="Z30" s="19">
        <f t="shared" si="11"/>
        <v>0</v>
      </c>
    </row>
    <row r="31" spans="1:26" s="24" customFormat="1" hidden="1" outlineLevel="1" x14ac:dyDescent="0.25">
      <c r="A31" s="44"/>
      <c r="B31" s="11" t="str">
        <f>CONCATENATE("          ", "5040", " - ", "PURCHASES @ COST-LOGO CLOTHING")</f>
        <v xml:space="preserve">          5040 - PURCHASES @ COST-LOGO CLOTHING</v>
      </c>
      <c r="C31" s="11"/>
      <c r="D31" s="2">
        <v>0</v>
      </c>
      <c r="E31" s="2"/>
      <c r="F31" s="19">
        <f t="shared" si="4"/>
        <v>0</v>
      </c>
      <c r="G31" s="2"/>
      <c r="H31" s="2"/>
      <c r="I31" s="2"/>
      <c r="J31" s="19">
        <f t="shared" si="5"/>
        <v>0</v>
      </c>
      <c r="K31" s="2"/>
      <c r="L31" s="2">
        <f t="shared" si="6"/>
        <v>0</v>
      </c>
      <c r="M31" s="2"/>
      <c r="N31" s="19">
        <f t="shared" si="7"/>
        <v>0</v>
      </c>
      <c r="O31" s="11"/>
      <c r="P31" s="2">
        <v>0</v>
      </c>
      <c r="Q31" s="2"/>
      <c r="R31" s="19">
        <f t="shared" si="8"/>
        <v>0</v>
      </c>
      <c r="S31" s="2"/>
      <c r="T31" s="2"/>
      <c r="U31" s="2"/>
      <c r="V31" s="19">
        <f t="shared" si="9"/>
        <v>0</v>
      </c>
      <c r="W31" s="2"/>
      <c r="X31" s="2">
        <f t="shared" si="10"/>
        <v>0</v>
      </c>
      <c r="Y31" s="2"/>
      <c r="Z31" s="19">
        <f t="shared" si="11"/>
        <v>0</v>
      </c>
    </row>
    <row r="32" spans="1:26" s="24" customFormat="1" hidden="1" outlineLevel="1" x14ac:dyDescent="0.25">
      <c r="A32" s="44"/>
      <c r="B32" s="11" t="str">
        <f>CONCATENATE("          ", "5041", " - ", "PURCHASES @ COST-LOGO GIFTS")</f>
        <v xml:space="preserve">          5041 - PURCHASES @ COST-LOGO GIFTS</v>
      </c>
      <c r="C32" s="11"/>
      <c r="D32" s="2">
        <v>0</v>
      </c>
      <c r="E32" s="2"/>
      <c r="F32" s="19">
        <f t="shared" si="4"/>
        <v>0</v>
      </c>
      <c r="G32" s="2"/>
      <c r="H32" s="2"/>
      <c r="I32" s="2"/>
      <c r="J32" s="19">
        <f t="shared" si="5"/>
        <v>0</v>
      </c>
      <c r="K32" s="2"/>
      <c r="L32" s="2">
        <f t="shared" si="6"/>
        <v>0</v>
      </c>
      <c r="M32" s="2"/>
      <c r="N32" s="19">
        <f t="shared" si="7"/>
        <v>0</v>
      </c>
      <c r="O32" s="11"/>
      <c r="P32" s="2">
        <v>0</v>
      </c>
      <c r="Q32" s="2"/>
      <c r="R32" s="19">
        <f t="shared" si="8"/>
        <v>0</v>
      </c>
      <c r="S32" s="2"/>
      <c r="T32" s="2"/>
      <c r="U32" s="2"/>
      <c r="V32" s="19">
        <f t="shared" si="9"/>
        <v>0</v>
      </c>
      <c r="W32" s="2"/>
      <c r="X32" s="2">
        <f t="shared" si="10"/>
        <v>0</v>
      </c>
      <c r="Y32" s="2"/>
      <c r="Z32" s="19">
        <f t="shared" si="11"/>
        <v>0</v>
      </c>
    </row>
    <row r="33" spans="1:26" s="24" customFormat="1" hidden="1" outlineLevel="1" x14ac:dyDescent="0.25">
      <c r="A33" s="44"/>
      <c r="B33" s="11" t="str">
        <f>CONCATENATE("          ", "5042", " - ", "PURCHASES @ COST-EVERYDAY GIFT")</f>
        <v xml:space="preserve">          5042 - PURCHASES @ COST-EVERYDAY GIFT</v>
      </c>
      <c r="C33" s="11"/>
      <c r="D33" s="2"/>
      <c r="E33" s="2"/>
      <c r="F33" s="19">
        <f t="shared" si="4"/>
        <v>0</v>
      </c>
      <c r="G33" s="2"/>
      <c r="H33" s="2"/>
      <c r="I33" s="2"/>
      <c r="J33" s="19">
        <f t="shared" si="5"/>
        <v>0</v>
      </c>
      <c r="K33" s="2"/>
      <c r="L33" s="2">
        <f t="shared" si="6"/>
        <v>0</v>
      </c>
      <c r="M33" s="2"/>
      <c r="N33" s="19">
        <f t="shared" si="7"/>
        <v>0</v>
      </c>
      <c r="O33" s="11"/>
      <c r="P33" s="2">
        <v>0</v>
      </c>
      <c r="Q33" s="2"/>
      <c r="R33" s="19">
        <f t="shared" si="8"/>
        <v>0</v>
      </c>
      <c r="S33" s="2"/>
      <c r="T33" s="2"/>
      <c r="U33" s="2"/>
      <c r="V33" s="19">
        <f t="shared" si="9"/>
        <v>0</v>
      </c>
      <c r="W33" s="2"/>
      <c r="X33" s="2">
        <f t="shared" si="10"/>
        <v>0</v>
      </c>
      <c r="Y33" s="2"/>
      <c r="Z33" s="19">
        <f t="shared" si="11"/>
        <v>0</v>
      </c>
    </row>
    <row r="34" spans="1:26" s="24" customFormat="1" hidden="1" outlineLevel="1" x14ac:dyDescent="0.25">
      <c r="A34" s="44"/>
      <c r="B34" s="11" t="str">
        <f>CONCATENATE("          ", "5043", " - ", "PURCHASES @ COST-CARDS")</f>
        <v xml:space="preserve">          5043 - PURCHASES @ COST-CARDS</v>
      </c>
      <c r="C34" s="11"/>
      <c r="D34" s="2"/>
      <c r="E34" s="2"/>
      <c r="F34" s="19">
        <f t="shared" si="4"/>
        <v>0</v>
      </c>
      <c r="G34" s="2"/>
      <c r="H34" s="2"/>
      <c r="I34" s="2"/>
      <c r="J34" s="19">
        <f t="shared" si="5"/>
        <v>0</v>
      </c>
      <c r="K34" s="2"/>
      <c r="L34" s="2">
        <f t="shared" si="6"/>
        <v>0</v>
      </c>
      <c r="M34" s="2"/>
      <c r="N34" s="19">
        <f t="shared" si="7"/>
        <v>0</v>
      </c>
      <c r="O34" s="11"/>
      <c r="P34" s="2">
        <v>0</v>
      </c>
      <c r="Q34" s="2"/>
      <c r="R34" s="19">
        <f t="shared" si="8"/>
        <v>0</v>
      </c>
      <c r="S34" s="2"/>
      <c r="T34" s="2"/>
      <c r="U34" s="2"/>
      <c r="V34" s="19">
        <f t="shared" si="9"/>
        <v>0</v>
      </c>
      <c r="W34" s="2"/>
      <c r="X34" s="2">
        <f t="shared" si="10"/>
        <v>0</v>
      </c>
      <c r="Y34" s="2"/>
      <c r="Z34" s="19">
        <f t="shared" si="11"/>
        <v>0</v>
      </c>
    </row>
    <row r="35" spans="1:26" s="24" customFormat="1" hidden="1" outlineLevel="1" x14ac:dyDescent="0.25">
      <c r="A35" s="44"/>
      <c r="B35" s="11" t="str">
        <f>CONCATENATE("          ", "5044", " - ", "PURCHASES @ COST-ACCESSORIES")</f>
        <v xml:space="preserve">          5044 - PURCHASES @ COST-ACCESSORIES</v>
      </c>
      <c r="C35" s="11"/>
      <c r="D35" s="2"/>
      <c r="E35" s="2"/>
      <c r="F35" s="19">
        <f t="shared" si="4"/>
        <v>0</v>
      </c>
      <c r="G35" s="2"/>
      <c r="H35" s="2"/>
      <c r="I35" s="2"/>
      <c r="J35" s="19">
        <f t="shared" si="5"/>
        <v>0</v>
      </c>
      <c r="K35" s="2"/>
      <c r="L35" s="2">
        <f t="shared" si="6"/>
        <v>0</v>
      </c>
      <c r="M35" s="2"/>
      <c r="N35" s="19">
        <f t="shared" si="7"/>
        <v>0</v>
      </c>
      <c r="O35" s="11"/>
      <c r="P35" s="2">
        <v>0</v>
      </c>
      <c r="Q35" s="2"/>
      <c r="R35" s="19">
        <f t="shared" si="8"/>
        <v>0</v>
      </c>
      <c r="S35" s="2"/>
      <c r="T35" s="2"/>
      <c r="U35" s="2"/>
      <c r="V35" s="19">
        <f t="shared" si="9"/>
        <v>0</v>
      </c>
      <c r="W35" s="2"/>
      <c r="X35" s="2">
        <f t="shared" si="10"/>
        <v>0</v>
      </c>
      <c r="Y35" s="2"/>
      <c r="Z35" s="19">
        <f t="shared" si="11"/>
        <v>0</v>
      </c>
    </row>
    <row r="36" spans="1:26" s="24" customFormat="1" hidden="1" outlineLevel="1" x14ac:dyDescent="0.25">
      <c r="A36" s="44"/>
      <c r="B36" s="11" t="str">
        <f>CONCATENATE("          ", "5045", " - ", "PURCHASES @ COST-SPECIAL ORDER")</f>
        <v xml:space="preserve">          5045 - PURCHASES @ COST-SPECIAL ORDER</v>
      </c>
      <c r="C36" s="11"/>
      <c r="D36" s="2">
        <v>0</v>
      </c>
      <c r="E36" s="2"/>
      <c r="F36" s="19">
        <f t="shared" si="4"/>
        <v>0</v>
      </c>
      <c r="G36" s="2"/>
      <c r="H36" s="2"/>
      <c r="I36" s="2"/>
      <c r="J36" s="19">
        <f t="shared" si="5"/>
        <v>0</v>
      </c>
      <c r="K36" s="2"/>
      <c r="L36" s="2">
        <f t="shared" si="6"/>
        <v>0</v>
      </c>
      <c r="M36" s="2"/>
      <c r="N36" s="19">
        <f t="shared" si="7"/>
        <v>0</v>
      </c>
      <c r="O36" s="11"/>
      <c r="P36" s="2">
        <v>0</v>
      </c>
      <c r="Q36" s="2"/>
      <c r="R36" s="19">
        <f t="shared" si="8"/>
        <v>0</v>
      </c>
      <c r="S36" s="2"/>
      <c r="T36" s="2"/>
      <c r="U36" s="2"/>
      <c r="V36" s="19">
        <f t="shared" si="9"/>
        <v>0</v>
      </c>
      <c r="W36" s="2"/>
      <c r="X36" s="2">
        <f t="shared" si="10"/>
        <v>0</v>
      </c>
      <c r="Y36" s="2"/>
      <c r="Z36" s="19">
        <f t="shared" si="11"/>
        <v>0</v>
      </c>
    </row>
    <row r="37" spans="1:26" s="24" customFormat="1" hidden="1" outlineLevel="1" x14ac:dyDescent="0.25">
      <c r="A37" s="44"/>
      <c r="B37" s="11" t="str">
        <f>CONCATENATE("          ", "5053", " - ", "PURCHASES @ COST-FOOD")</f>
        <v xml:space="preserve">          5053 - PURCHASES @ COST-FOOD</v>
      </c>
      <c r="C37" s="11"/>
      <c r="D37" s="2">
        <v>8370.32</v>
      </c>
      <c r="E37" s="2"/>
      <c r="F37" s="19">
        <f t="shared" si="4"/>
        <v>1.3937396408058973E-2</v>
      </c>
      <c r="G37" s="2"/>
      <c r="H37" s="2"/>
      <c r="I37" s="2"/>
      <c r="J37" s="19">
        <f t="shared" si="5"/>
        <v>0</v>
      </c>
      <c r="K37" s="2"/>
      <c r="L37" s="2">
        <f t="shared" si="6"/>
        <v>8370.32</v>
      </c>
      <c r="M37" s="2"/>
      <c r="N37" s="19">
        <f t="shared" si="7"/>
        <v>0</v>
      </c>
      <c r="O37" s="11"/>
      <c r="P37" s="2">
        <v>23355.88</v>
      </c>
      <c r="Q37" s="2"/>
      <c r="R37" s="19">
        <f t="shared" si="8"/>
        <v>9.9789134767657856E-3</v>
      </c>
      <c r="S37" s="2"/>
      <c r="T37" s="2"/>
      <c r="U37" s="2"/>
      <c r="V37" s="19">
        <f t="shared" si="9"/>
        <v>0</v>
      </c>
      <c r="W37" s="2"/>
      <c r="X37" s="2">
        <f t="shared" si="10"/>
        <v>23355.88</v>
      </c>
      <c r="Y37" s="2"/>
      <c r="Z37" s="19">
        <f t="shared" si="11"/>
        <v>0</v>
      </c>
    </row>
    <row r="38" spans="1:26" s="24" customFormat="1" hidden="1" outlineLevel="1" x14ac:dyDescent="0.25">
      <c r="A38" s="44"/>
      <c r="B38" s="11" t="str">
        <f>CONCATENATE("          ", "5059", " - ", "PURCHASES @ COST-FOOD")</f>
        <v xml:space="preserve">          5059 - PURCHASES @ COST-FOOD</v>
      </c>
      <c r="C38" s="11"/>
      <c r="D38" s="2">
        <v>-398.6</v>
      </c>
      <c r="E38" s="2"/>
      <c r="F38" s="19">
        <f t="shared" si="4"/>
        <v>-6.6370774453692423E-4</v>
      </c>
      <c r="G38" s="2"/>
      <c r="H38" s="2"/>
      <c r="I38" s="2"/>
      <c r="J38" s="19">
        <f t="shared" si="5"/>
        <v>0</v>
      </c>
      <c r="K38" s="2"/>
      <c r="L38" s="2">
        <f t="shared" si="6"/>
        <v>-398.6</v>
      </c>
      <c r="M38" s="2"/>
      <c r="N38" s="19">
        <f t="shared" si="7"/>
        <v>0</v>
      </c>
      <c r="O38" s="11"/>
      <c r="P38" s="2">
        <v>-12137.6</v>
      </c>
      <c r="Q38" s="2"/>
      <c r="R38" s="19">
        <f t="shared" si="8"/>
        <v>-5.1858487119985372E-3</v>
      </c>
      <c r="S38" s="2"/>
      <c r="T38" s="2"/>
      <c r="U38" s="2"/>
      <c r="V38" s="19">
        <f t="shared" si="9"/>
        <v>0</v>
      </c>
      <c r="W38" s="2"/>
      <c r="X38" s="2">
        <f t="shared" si="10"/>
        <v>-12137.6</v>
      </c>
      <c r="Y38" s="2"/>
      <c r="Z38" s="19">
        <f t="shared" si="11"/>
        <v>0</v>
      </c>
    </row>
    <row r="39" spans="1:26" s="24" customFormat="1" hidden="1" outlineLevel="1" x14ac:dyDescent="0.25">
      <c r="A39" s="44"/>
      <c r="B39" s="11" t="str">
        <f>CONCATENATE("          ", "5200", " - ", "PURCHASES OFFSET")</f>
        <v xml:space="preserve">          5200 - PURCHASES OFFSET</v>
      </c>
      <c r="C39" s="11"/>
      <c r="D39" s="2">
        <v>-697456.98</v>
      </c>
      <c r="E39" s="2"/>
      <c r="F39" s="19">
        <f t="shared" si="4"/>
        <v>-1.1613336655979292</v>
      </c>
      <c r="G39" s="2"/>
      <c r="H39" s="2"/>
      <c r="I39" s="2"/>
      <c r="J39" s="19">
        <f t="shared" si="5"/>
        <v>0</v>
      </c>
      <c r="K39" s="2"/>
      <c r="L39" s="2">
        <f t="shared" si="6"/>
        <v>-697456.98</v>
      </c>
      <c r="M39" s="2"/>
      <c r="N39" s="19">
        <f t="shared" si="7"/>
        <v>0</v>
      </c>
      <c r="O39" s="11"/>
      <c r="P39" s="2">
        <v>-1347625.63</v>
      </c>
      <c r="Q39" s="2"/>
      <c r="R39" s="19">
        <f t="shared" si="8"/>
        <v>-0.57577961356377838</v>
      </c>
      <c r="S39" s="2"/>
      <c r="T39" s="2"/>
      <c r="U39" s="2"/>
      <c r="V39" s="19">
        <f t="shared" si="9"/>
        <v>0</v>
      </c>
      <c r="W39" s="2"/>
      <c r="X39" s="2">
        <f t="shared" si="10"/>
        <v>-1347625.63</v>
      </c>
      <c r="Y39" s="2"/>
      <c r="Z39" s="19">
        <f t="shared" si="11"/>
        <v>0</v>
      </c>
    </row>
    <row r="40" spans="1:26" s="24" customFormat="1" hidden="1" outlineLevel="1" x14ac:dyDescent="0.25">
      <c r="A40" s="44"/>
      <c r="B40" s="11" t="str">
        <f>CONCATENATE("          ", "5300", " - ", "COG$ OFFSET")</f>
        <v xml:space="preserve">          5300 - COG$ OFFSET</v>
      </c>
      <c r="C40" s="11"/>
      <c r="D40" s="2">
        <v>339299.2</v>
      </c>
      <c r="E40" s="2"/>
      <c r="F40" s="19">
        <f t="shared" si="4"/>
        <v>0.56496614840738268</v>
      </c>
      <c r="G40" s="2"/>
      <c r="H40" s="2"/>
      <c r="I40" s="2"/>
      <c r="J40" s="19">
        <f t="shared" si="5"/>
        <v>0</v>
      </c>
      <c r="K40" s="2"/>
      <c r="L40" s="2">
        <f t="shared" si="6"/>
        <v>339299.2</v>
      </c>
      <c r="M40" s="2"/>
      <c r="N40" s="19">
        <f t="shared" si="7"/>
        <v>0</v>
      </c>
      <c r="O40" s="11"/>
      <c r="P40" s="2">
        <v>1254097.95</v>
      </c>
      <c r="Q40" s="2"/>
      <c r="R40" s="19">
        <f t="shared" si="8"/>
        <v>0.53581945678943987</v>
      </c>
      <c r="S40" s="2"/>
      <c r="T40" s="2"/>
      <c r="U40" s="2"/>
      <c r="V40" s="19">
        <f t="shared" si="9"/>
        <v>0</v>
      </c>
      <c r="W40" s="2"/>
      <c r="X40" s="2">
        <f t="shared" si="10"/>
        <v>1254097.95</v>
      </c>
      <c r="Y40" s="2"/>
      <c r="Z40" s="19">
        <f t="shared" si="11"/>
        <v>0</v>
      </c>
    </row>
    <row r="41" spans="1:26" s="24" customFormat="1" hidden="1" outlineLevel="1" x14ac:dyDescent="0.25">
      <c r="A41" s="44"/>
      <c r="B41" s="11" t="str">
        <f>CONCATENATE("          ", "5500", " - ", "FREIGHT-IN")</f>
        <v xml:space="preserve">          5500 - FREIGHT-IN</v>
      </c>
      <c r="C41" s="11"/>
      <c r="D41" s="2">
        <v>17166.12</v>
      </c>
      <c r="E41" s="2"/>
      <c r="F41" s="19">
        <f t="shared" si="4"/>
        <v>2.8583258373432473E-2</v>
      </c>
      <c r="G41" s="2"/>
      <c r="H41" s="2"/>
      <c r="I41" s="2"/>
      <c r="J41" s="19">
        <f t="shared" si="5"/>
        <v>0</v>
      </c>
      <c r="K41" s="2"/>
      <c r="L41" s="2">
        <f t="shared" si="6"/>
        <v>17166.12</v>
      </c>
      <c r="M41" s="2"/>
      <c r="N41" s="19">
        <f t="shared" si="7"/>
        <v>0</v>
      </c>
      <c r="O41" s="11"/>
      <c r="P41" s="2">
        <v>27340.79</v>
      </c>
      <c r="Q41" s="2"/>
      <c r="R41" s="19">
        <f t="shared" si="8"/>
        <v>1.1681485681396857E-2</v>
      </c>
      <c r="S41" s="2"/>
      <c r="T41" s="2"/>
      <c r="U41" s="2"/>
      <c r="V41" s="19">
        <f t="shared" si="9"/>
        <v>0</v>
      </c>
      <c r="W41" s="2"/>
      <c r="X41" s="2">
        <f t="shared" si="10"/>
        <v>27340.79</v>
      </c>
      <c r="Y41" s="2"/>
      <c r="Z41" s="19">
        <f t="shared" si="11"/>
        <v>0</v>
      </c>
    </row>
    <row r="42" spans="1:26" s="24" customFormat="1" hidden="1" outlineLevel="1" x14ac:dyDescent="0.25">
      <c r="A42" s="44"/>
      <c r="B42" s="11" t="str">
        <f>CONCATENATE("          ", "5501", " - ", "FREIGHT-IN-NEW TEXT")</f>
        <v xml:space="preserve">          5501 - FREIGHT-IN-NEW TEXT</v>
      </c>
      <c r="C42" s="11"/>
      <c r="D42" s="2">
        <v>0</v>
      </c>
      <c r="E42" s="2"/>
      <c r="F42" s="19">
        <f t="shared" si="4"/>
        <v>0</v>
      </c>
      <c r="G42" s="2"/>
      <c r="H42" s="2"/>
      <c r="I42" s="2"/>
      <c r="J42" s="19">
        <f t="shared" si="5"/>
        <v>0</v>
      </c>
      <c r="K42" s="2"/>
      <c r="L42" s="2">
        <f t="shared" si="6"/>
        <v>0</v>
      </c>
      <c r="M42" s="2"/>
      <c r="N42" s="19">
        <f t="shared" si="7"/>
        <v>0</v>
      </c>
      <c r="O42" s="11"/>
      <c r="P42" s="2">
        <v>0</v>
      </c>
      <c r="Q42" s="2"/>
      <c r="R42" s="19">
        <f t="shared" si="8"/>
        <v>0</v>
      </c>
      <c r="S42" s="2"/>
      <c r="T42" s="2"/>
      <c r="U42" s="2"/>
      <c r="V42" s="19">
        <f t="shared" si="9"/>
        <v>0</v>
      </c>
      <c r="W42" s="2"/>
      <c r="X42" s="2">
        <f t="shared" si="10"/>
        <v>0</v>
      </c>
      <c r="Y42" s="2"/>
      <c r="Z42" s="19">
        <f t="shared" si="11"/>
        <v>0</v>
      </c>
    </row>
    <row r="43" spans="1:26" s="24" customFormat="1" hidden="1" outlineLevel="1" x14ac:dyDescent="0.25">
      <c r="A43" s="44"/>
      <c r="B43" s="11" t="str">
        <f>CONCATENATE("          ", "5502", " - ", "FREIGHT-IN-USED TEXT")</f>
        <v xml:space="preserve">          5502 - FREIGHT-IN-USED TEXT</v>
      </c>
      <c r="C43" s="11"/>
      <c r="D43" s="2">
        <v>0</v>
      </c>
      <c r="E43" s="2"/>
      <c r="F43" s="19">
        <f t="shared" si="4"/>
        <v>0</v>
      </c>
      <c r="G43" s="2"/>
      <c r="H43" s="2"/>
      <c r="I43" s="2"/>
      <c r="J43" s="19">
        <f t="shared" si="5"/>
        <v>0</v>
      </c>
      <c r="K43" s="2"/>
      <c r="L43" s="2">
        <f t="shared" si="6"/>
        <v>0</v>
      </c>
      <c r="M43" s="2"/>
      <c r="N43" s="19">
        <f t="shared" si="7"/>
        <v>0</v>
      </c>
      <c r="O43" s="11"/>
      <c r="P43" s="2">
        <v>0</v>
      </c>
      <c r="Q43" s="2"/>
      <c r="R43" s="19">
        <f t="shared" si="8"/>
        <v>0</v>
      </c>
      <c r="S43" s="2"/>
      <c r="T43" s="2"/>
      <c r="U43" s="2"/>
      <c r="V43" s="19">
        <f t="shared" si="9"/>
        <v>0</v>
      </c>
      <c r="W43" s="2"/>
      <c r="X43" s="2">
        <f t="shared" si="10"/>
        <v>0</v>
      </c>
      <c r="Y43" s="2"/>
      <c r="Z43" s="19">
        <f t="shared" si="11"/>
        <v>0</v>
      </c>
    </row>
    <row r="44" spans="1:26" s="24" customFormat="1" hidden="1" outlineLevel="1" x14ac:dyDescent="0.25">
      <c r="A44" s="44"/>
      <c r="B44" s="11" t="str">
        <f>CONCATENATE("          ", "5518", " - ", "FREIGHT-IN-STUDY GUIDES")</f>
        <v xml:space="preserve">          5518 - FREIGHT-IN-STUDY GUIDES</v>
      </c>
      <c r="C44" s="11"/>
      <c r="D44" s="2"/>
      <c r="E44" s="2"/>
      <c r="F44" s="19">
        <f t="shared" si="4"/>
        <v>0</v>
      </c>
      <c r="G44" s="2"/>
      <c r="H44" s="2"/>
      <c r="I44" s="2"/>
      <c r="J44" s="19">
        <f t="shared" si="5"/>
        <v>0</v>
      </c>
      <c r="K44" s="2"/>
      <c r="L44" s="2">
        <f t="shared" si="6"/>
        <v>0</v>
      </c>
      <c r="M44" s="2"/>
      <c r="N44" s="19">
        <f t="shared" si="7"/>
        <v>0</v>
      </c>
      <c r="O44" s="11"/>
      <c r="P44" s="2">
        <v>0</v>
      </c>
      <c r="Q44" s="2"/>
      <c r="R44" s="19">
        <f t="shared" si="8"/>
        <v>0</v>
      </c>
      <c r="S44" s="2"/>
      <c r="T44" s="2"/>
      <c r="U44" s="2"/>
      <c r="V44" s="19">
        <f t="shared" si="9"/>
        <v>0</v>
      </c>
      <c r="W44" s="2"/>
      <c r="X44" s="2">
        <f t="shared" si="10"/>
        <v>0</v>
      </c>
      <c r="Y44" s="2"/>
      <c r="Z44" s="19">
        <f t="shared" si="11"/>
        <v>0</v>
      </c>
    </row>
    <row r="45" spans="1:26" s="24" customFormat="1" hidden="1" outlineLevel="1" x14ac:dyDescent="0.25">
      <c r="A45" s="44"/>
      <c r="B45" s="11" t="str">
        <f>CONCATENATE("          ", "5527", " - ", "FREIGHT-IN-SCHOOL SUPPLIES")</f>
        <v xml:space="preserve">          5527 - FREIGHT-IN-SCHOOL SUPPLIES</v>
      </c>
      <c r="C45" s="11"/>
      <c r="D45" s="2"/>
      <c r="E45" s="2"/>
      <c r="F45" s="19">
        <f t="shared" si="4"/>
        <v>0</v>
      </c>
      <c r="G45" s="2"/>
      <c r="H45" s="2"/>
      <c r="I45" s="2"/>
      <c r="J45" s="19">
        <f t="shared" si="5"/>
        <v>0</v>
      </c>
      <c r="K45" s="2"/>
      <c r="L45" s="2">
        <f t="shared" si="6"/>
        <v>0</v>
      </c>
      <c r="M45" s="2"/>
      <c r="N45" s="19">
        <f t="shared" si="7"/>
        <v>0</v>
      </c>
      <c r="O45" s="11"/>
      <c r="P45" s="2">
        <v>0</v>
      </c>
      <c r="Q45" s="2"/>
      <c r="R45" s="19">
        <f t="shared" si="8"/>
        <v>0</v>
      </c>
      <c r="S45" s="2"/>
      <c r="T45" s="2"/>
      <c r="U45" s="2"/>
      <c r="V45" s="19">
        <f t="shared" si="9"/>
        <v>0</v>
      </c>
      <c r="W45" s="2"/>
      <c r="X45" s="2">
        <f t="shared" si="10"/>
        <v>0</v>
      </c>
      <c r="Y45" s="2"/>
      <c r="Z45" s="19">
        <f t="shared" si="11"/>
        <v>0</v>
      </c>
    </row>
    <row r="46" spans="1:26" s="24" customFormat="1" hidden="1" outlineLevel="1" x14ac:dyDescent="0.25">
      <c r="A46" s="44"/>
      <c r="B46" s="11" t="str">
        <f>CONCATENATE("          ", "5528", " - ", "FREIGHT-IN-ART/TECH")</f>
        <v xml:space="preserve">          5528 - FREIGHT-IN-ART/TECH</v>
      </c>
      <c r="C46" s="11"/>
      <c r="D46" s="2">
        <v>0</v>
      </c>
      <c r="E46" s="2"/>
      <c r="F46" s="19">
        <f t="shared" si="4"/>
        <v>0</v>
      </c>
      <c r="G46" s="2"/>
      <c r="H46" s="2"/>
      <c r="I46" s="2"/>
      <c r="J46" s="19">
        <f t="shared" si="5"/>
        <v>0</v>
      </c>
      <c r="K46" s="2"/>
      <c r="L46" s="2">
        <f t="shared" si="6"/>
        <v>0</v>
      </c>
      <c r="M46" s="2"/>
      <c r="N46" s="19">
        <f t="shared" si="7"/>
        <v>0</v>
      </c>
      <c r="O46" s="11"/>
      <c r="P46" s="2">
        <v>0</v>
      </c>
      <c r="Q46" s="2"/>
      <c r="R46" s="19">
        <f t="shared" si="8"/>
        <v>0</v>
      </c>
      <c r="S46" s="2"/>
      <c r="T46" s="2"/>
      <c r="U46" s="2"/>
      <c r="V46" s="19">
        <f t="shared" si="9"/>
        <v>0</v>
      </c>
      <c r="W46" s="2"/>
      <c r="X46" s="2">
        <f t="shared" si="10"/>
        <v>0</v>
      </c>
      <c r="Y46" s="2"/>
      <c r="Z46" s="19">
        <f t="shared" si="11"/>
        <v>0</v>
      </c>
    </row>
    <row r="47" spans="1:26" s="24" customFormat="1" hidden="1" outlineLevel="1" x14ac:dyDescent="0.25">
      <c r="A47" s="44"/>
      <c r="B47" s="11" t="str">
        <f>CONCATENATE("          ", "5540", " - ", "FREIGHT-IN-LOGO CLOTHING")</f>
        <v xml:space="preserve">          5540 - FREIGHT-IN-LOGO CLOTHING</v>
      </c>
      <c r="C47" s="11"/>
      <c r="D47" s="2"/>
      <c r="E47" s="2"/>
      <c r="F47" s="19">
        <f t="shared" si="4"/>
        <v>0</v>
      </c>
      <c r="G47" s="2"/>
      <c r="H47" s="2"/>
      <c r="I47" s="2"/>
      <c r="J47" s="19">
        <f t="shared" si="5"/>
        <v>0</v>
      </c>
      <c r="K47" s="2"/>
      <c r="L47" s="2">
        <f t="shared" si="6"/>
        <v>0</v>
      </c>
      <c r="M47" s="2"/>
      <c r="N47" s="19">
        <f t="shared" si="7"/>
        <v>0</v>
      </c>
      <c r="O47" s="11"/>
      <c r="P47" s="2">
        <v>0</v>
      </c>
      <c r="Q47" s="2"/>
      <c r="R47" s="19">
        <f t="shared" si="8"/>
        <v>0</v>
      </c>
      <c r="S47" s="2"/>
      <c r="T47" s="2"/>
      <c r="U47" s="2"/>
      <c r="V47" s="19">
        <f t="shared" si="9"/>
        <v>0</v>
      </c>
      <c r="W47" s="2"/>
      <c r="X47" s="2">
        <f t="shared" si="10"/>
        <v>0</v>
      </c>
      <c r="Y47" s="2"/>
      <c r="Z47" s="19">
        <f t="shared" si="11"/>
        <v>0</v>
      </c>
    </row>
    <row r="48" spans="1:26" s="24" customFormat="1" hidden="1" outlineLevel="1" x14ac:dyDescent="0.25">
      <c r="A48" s="44"/>
      <c r="B48" s="11" t="str">
        <f>CONCATENATE("          ", "5541", " - ", "FREIGHT-IN-LOGO GIFTS")</f>
        <v xml:space="preserve">          5541 - FREIGHT-IN-LOGO GIFTS</v>
      </c>
      <c r="C48" s="11"/>
      <c r="D48" s="2">
        <v>0</v>
      </c>
      <c r="E48" s="2"/>
      <c r="F48" s="19">
        <f t="shared" si="4"/>
        <v>0</v>
      </c>
      <c r="G48" s="2"/>
      <c r="H48" s="2"/>
      <c r="I48" s="2"/>
      <c r="J48" s="19">
        <f t="shared" si="5"/>
        <v>0</v>
      </c>
      <c r="K48" s="2"/>
      <c r="L48" s="2">
        <f t="shared" si="6"/>
        <v>0</v>
      </c>
      <c r="M48" s="2"/>
      <c r="N48" s="19">
        <f t="shared" si="7"/>
        <v>0</v>
      </c>
      <c r="O48" s="11"/>
      <c r="P48" s="2">
        <v>0</v>
      </c>
      <c r="Q48" s="2"/>
      <c r="R48" s="19">
        <f t="shared" si="8"/>
        <v>0</v>
      </c>
      <c r="S48" s="2"/>
      <c r="T48" s="2"/>
      <c r="U48" s="2"/>
      <c r="V48" s="19">
        <f t="shared" si="9"/>
        <v>0</v>
      </c>
      <c r="W48" s="2"/>
      <c r="X48" s="2">
        <f t="shared" si="10"/>
        <v>0</v>
      </c>
      <c r="Y48" s="2"/>
      <c r="Z48" s="19">
        <f t="shared" si="11"/>
        <v>0</v>
      </c>
    </row>
    <row r="49" spans="1:26" s="24" customFormat="1" hidden="1" outlineLevel="1" x14ac:dyDescent="0.25">
      <c r="A49" s="44"/>
      <c r="B49" s="11" t="str">
        <f>CONCATENATE("          ", "5542", " - ", "FREIGHT-IN-EVERYDAY GIFTS")</f>
        <v xml:space="preserve">          5542 - FREIGHT-IN-EVERYDAY GIFTS</v>
      </c>
      <c r="C49" s="11"/>
      <c r="D49" s="2"/>
      <c r="E49" s="2"/>
      <c r="F49" s="19">
        <f t="shared" si="4"/>
        <v>0</v>
      </c>
      <c r="G49" s="2"/>
      <c r="H49" s="2"/>
      <c r="I49" s="2"/>
      <c r="J49" s="19">
        <f t="shared" si="5"/>
        <v>0</v>
      </c>
      <c r="K49" s="2"/>
      <c r="L49" s="2">
        <f t="shared" si="6"/>
        <v>0</v>
      </c>
      <c r="M49" s="2"/>
      <c r="N49" s="19">
        <f t="shared" si="7"/>
        <v>0</v>
      </c>
      <c r="O49" s="11"/>
      <c r="P49" s="2">
        <v>0</v>
      </c>
      <c r="Q49" s="2"/>
      <c r="R49" s="19">
        <f t="shared" si="8"/>
        <v>0</v>
      </c>
      <c r="S49" s="2"/>
      <c r="T49" s="2"/>
      <c r="U49" s="2"/>
      <c r="V49" s="19">
        <f t="shared" si="9"/>
        <v>0</v>
      </c>
      <c r="W49" s="2"/>
      <c r="X49" s="2">
        <f t="shared" si="10"/>
        <v>0</v>
      </c>
      <c r="Y49" s="2"/>
      <c r="Z49" s="19">
        <f t="shared" si="11"/>
        <v>0</v>
      </c>
    </row>
    <row r="50" spans="1:26" s="24" customFormat="1" hidden="1" outlineLevel="1" x14ac:dyDescent="0.25">
      <c r="A50" s="44"/>
      <c r="B50" s="11" t="str">
        <f>CONCATENATE("          ", "5544", " - ", "FREIGHT-IN-ACCESSORIES")</f>
        <v xml:space="preserve">          5544 - FREIGHT-IN-ACCESSORIES</v>
      </c>
      <c r="C50" s="11"/>
      <c r="D50" s="2"/>
      <c r="E50" s="2"/>
      <c r="F50" s="19">
        <f t="shared" si="4"/>
        <v>0</v>
      </c>
      <c r="G50" s="2"/>
      <c r="H50" s="2"/>
      <c r="I50" s="2"/>
      <c r="J50" s="19">
        <f t="shared" si="5"/>
        <v>0</v>
      </c>
      <c r="K50" s="2"/>
      <c r="L50" s="2">
        <f t="shared" si="6"/>
        <v>0</v>
      </c>
      <c r="M50" s="2"/>
      <c r="N50" s="19">
        <f t="shared" si="7"/>
        <v>0</v>
      </c>
      <c r="O50" s="11"/>
      <c r="P50" s="2">
        <v>0</v>
      </c>
      <c r="Q50" s="2"/>
      <c r="R50" s="19">
        <f t="shared" si="8"/>
        <v>0</v>
      </c>
      <c r="S50" s="2"/>
      <c r="T50" s="2"/>
      <c r="U50" s="2"/>
      <c r="V50" s="19">
        <f t="shared" si="9"/>
        <v>0</v>
      </c>
      <c r="W50" s="2"/>
      <c r="X50" s="2">
        <f t="shared" si="10"/>
        <v>0</v>
      </c>
      <c r="Y50" s="2"/>
      <c r="Z50" s="19">
        <f t="shared" si="11"/>
        <v>0</v>
      </c>
    </row>
    <row r="51" spans="1:26" s="24" customFormat="1" hidden="1" outlineLevel="1" x14ac:dyDescent="0.25">
      <c r="A51" s="44"/>
      <c r="B51" s="11" t="str">
        <f>CONCATENATE("          ", "5545", " - ", "FREIGHT-IN-SPECIAL ORDERS")</f>
        <v xml:space="preserve">          5545 - FREIGHT-IN-SPECIAL ORDERS</v>
      </c>
      <c r="C51" s="11"/>
      <c r="D51" s="2"/>
      <c r="E51" s="2"/>
      <c r="F51" s="19">
        <f t="shared" si="4"/>
        <v>0</v>
      </c>
      <c r="G51" s="2"/>
      <c r="H51" s="2"/>
      <c r="I51" s="2"/>
      <c r="J51" s="19">
        <f t="shared" si="5"/>
        <v>0</v>
      </c>
      <c r="K51" s="2"/>
      <c r="L51" s="2">
        <f t="shared" si="6"/>
        <v>0</v>
      </c>
      <c r="M51" s="2"/>
      <c r="N51" s="19">
        <f t="shared" si="7"/>
        <v>0</v>
      </c>
      <c r="O51" s="11"/>
      <c r="P51" s="2">
        <v>0</v>
      </c>
      <c r="Q51" s="2"/>
      <c r="R51" s="19">
        <f t="shared" si="8"/>
        <v>0</v>
      </c>
      <c r="S51" s="2"/>
      <c r="T51" s="2"/>
      <c r="U51" s="2"/>
      <c r="V51" s="19">
        <f t="shared" si="9"/>
        <v>0</v>
      </c>
      <c r="W51" s="2"/>
      <c r="X51" s="2">
        <f t="shared" si="10"/>
        <v>0</v>
      </c>
      <c r="Y51" s="2"/>
      <c r="Z51" s="19">
        <f t="shared" si="11"/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5" t="s">
        <v>108</v>
      </c>
      <c r="C53" s="25"/>
      <c r="D53" s="21">
        <f>D12-D22</f>
        <v>207281.5300000002</v>
      </c>
      <c r="E53" s="13"/>
      <c r="F53" s="20">
        <f>IF(D$12=0,0,D53/D$12)</f>
        <v>0.34514389553553165</v>
      </c>
      <c r="G53" s="13"/>
      <c r="H53" s="21">
        <f>H12-H22</f>
        <v>337607</v>
      </c>
      <c r="I53" s="13"/>
      <c r="J53" s="20">
        <f>IF(H$12=0,0,H53/H$12)</f>
        <v>0.39251151002185741</v>
      </c>
      <c r="K53" s="16"/>
      <c r="L53" s="21">
        <f>+D53-H53</f>
        <v>-130325.4699999998</v>
      </c>
      <c r="M53" s="16"/>
      <c r="N53" s="20">
        <f>IF(H53=0,0,L53/H53)</f>
        <v>-0.38602715583503838</v>
      </c>
      <c r="O53" s="26"/>
      <c r="P53" s="21">
        <f>P12-P22</f>
        <v>824233.36999999965</v>
      </c>
      <c r="Q53" s="13"/>
      <c r="R53" s="20">
        <f>IF(P$12=0,0,P53/P$12)</f>
        <v>0.35215772147712165</v>
      </c>
      <c r="S53" s="13"/>
      <c r="T53" s="21">
        <f>T12-T22</f>
        <v>1356244</v>
      </c>
      <c r="U53" s="13"/>
      <c r="V53" s="20">
        <f>IF(T$12=0,0,T53/T$12)</f>
        <v>0.34386575016055593</v>
      </c>
      <c r="W53" s="16"/>
      <c r="X53" s="21">
        <f>+P53-T53</f>
        <v>-532010.63000000035</v>
      </c>
      <c r="Y53" s="16"/>
      <c r="Z53" s="20">
        <f>IF(T53=0,0,X53/T53)</f>
        <v>-0.39226763768171535</v>
      </c>
    </row>
    <row r="54" spans="1:26" x14ac:dyDescent="0.25">
      <c r="A54" s="9"/>
      <c r="B54" s="10"/>
      <c r="C54" s="9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6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6" t="s">
        <v>295</v>
      </c>
      <c r="C55" s="10"/>
      <c r="D55" s="22">
        <f>SUM(OSRRefD22x_0)</f>
        <v>310333.57999999984</v>
      </c>
      <c r="E55" s="22"/>
      <c r="F55" s="32">
        <f t="shared" ref="F55:F66" si="12">IF(D$12=0,0,D55/D$12)</f>
        <v>0.51673557560428751</v>
      </c>
      <c r="G55" s="22"/>
      <c r="H55" s="22">
        <f>SUM(OSRRefH22x_0)</f>
        <v>355754.33987922047</v>
      </c>
      <c r="I55" s="22"/>
      <c r="J55" s="32">
        <f t="shared" ref="J55:J66" si="13">IF(H$12=0,0,H55/H$12)</f>
        <v>0.41361012402829894</v>
      </c>
      <c r="K55" s="4"/>
      <c r="L55" s="22">
        <f t="shared" ref="L55:L66" si="14">+D55-H55</f>
        <v>-45420.759879220626</v>
      </c>
      <c r="M55" s="4"/>
      <c r="N55" s="32">
        <f t="shared" ref="N55:N66" si="15">IF(H55=0,0,L55/H55)</f>
        <v>-0.12767450678083392</v>
      </c>
      <c r="O55" s="10"/>
      <c r="P55" s="22">
        <f>SUM(OSRRefP22x_0)</f>
        <v>1053737.7300000002</v>
      </c>
      <c r="Q55" s="22"/>
      <c r="R55" s="32">
        <f t="shared" ref="R55:R66" si="16">IF(P$12=0,0,P55/P$12)</f>
        <v>0.45021457700902678</v>
      </c>
      <c r="S55" s="22"/>
      <c r="T55" s="22">
        <f>SUM(OSRRefT22x_0)</f>
        <v>1167996.2833401586</v>
      </c>
      <c r="U55" s="22"/>
      <c r="V55" s="32">
        <f t="shared" ref="V55:V66" si="17">IF(T$12=0,0,T55/T$12)</f>
        <v>0.29613691795540098</v>
      </c>
      <c r="W55" s="4"/>
      <c r="X55" s="22">
        <f t="shared" ref="X55:X66" si="18">+P55-T55</f>
        <v>-114258.55334015843</v>
      </c>
      <c r="Y55" s="4"/>
      <c r="Z55" s="32">
        <f t="shared" ref="Z55:Z66" si="19">IF(T55=0,0,X55/T55)</f>
        <v>-9.7824415171433046E-2</v>
      </c>
    </row>
    <row r="56" spans="1:26" s="28" customFormat="1" outlineLevel="1" collapsed="1" x14ac:dyDescent="0.25">
      <c r="A56" s="27"/>
      <c r="B56" s="14" t="str">
        <f>CONCATENATE("     ","*Benefits                                         ")</f>
        <v xml:space="preserve">     *Benefits                                         </v>
      </c>
      <c r="C56" s="14"/>
      <c r="D56" s="1">
        <f>SUM(OSRRefD22_0x_0)</f>
        <v>46350.500000000007</v>
      </c>
      <c r="E56" s="1"/>
      <c r="F56" s="5">
        <f t="shared" si="12"/>
        <v>7.7178087840337944E-2</v>
      </c>
      <c r="G56" s="1"/>
      <c r="H56" s="1">
        <f>SUM(OSRRefH22_0x_0)</f>
        <v>50812.845103197491</v>
      </c>
      <c r="I56" s="1"/>
      <c r="J56" s="5">
        <f t="shared" si="13"/>
        <v>5.9076460381339221E-2</v>
      </c>
      <c r="K56" s="1"/>
      <c r="L56" s="1">
        <f t="shared" si="14"/>
        <v>-4462.3451031974837</v>
      </c>
      <c r="M56" s="1"/>
      <c r="N56" s="5">
        <f t="shared" si="15"/>
        <v>-8.7819233387438925E-2</v>
      </c>
      <c r="O56" s="14"/>
      <c r="P56" s="1">
        <f>SUM(OSRRefP22_0x_0)</f>
        <v>146157.14999999997</v>
      </c>
      <c r="Q56" s="1"/>
      <c r="R56" s="5">
        <f t="shared" si="16"/>
        <v>6.2446354145537571E-2</v>
      </c>
      <c r="S56" s="1"/>
      <c r="T56" s="1">
        <f>SUM(OSRRefT22_0x_0)</f>
        <v>167198.13877962256</v>
      </c>
      <c r="U56" s="1"/>
      <c r="V56" s="5">
        <f t="shared" si="17"/>
        <v>4.2391865635463565E-2</v>
      </c>
      <c r="W56" s="1"/>
      <c r="X56" s="1">
        <f t="shared" si="18"/>
        <v>-21040.988779622596</v>
      </c>
      <c r="Y56" s="1"/>
      <c r="Z56" s="5">
        <f t="shared" si="19"/>
        <v>-0.12584463519271535</v>
      </c>
    </row>
    <row r="57" spans="1:26" s="24" customFormat="1" hidden="1" outlineLevel="2" x14ac:dyDescent="0.25">
      <c r="A57" s="29"/>
      <c r="B57" s="11" t="str">
        <f>CONCATENATE("          ", "6111", " - ", "F.I.C.A.")</f>
        <v xml:space="preserve">          6111 - F.I.C.A.</v>
      </c>
      <c r="C57" s="11"/>
      <c r="D57" s="7">
        <v>7763.04</v>
      </c>
      <c r="E57" s="2"/>
      <c r="F57" s="6">
        <f t="shared" si="12"/>
        <v>1.2926216179503069E-2</v>
      </c>
      <c r="G57" s="2"/>
      <c r="H57" s="7">
        <v>9589.5066599028505</v>
      </c>
      <c r="I57" s="2"/>
      <c r="J57" s="6">
        <f t="shared" si="13"/>
        <v>1.1149033460334431E-2</v>
      </c>
      <c r="K57" s="2"/>
      <c r="L57" s="7">
        <f t="shared" si="14"/>
        <v>-1826.4666599028506</v>
      </c>
      <c r="M57" s="2"/>
      <c r="N57" s="6">
        <f t="shared" si="15"/>
        <v>-0.19046513284567176</v>
      </c>
      <c r="O57" s="11"/>
      <c r="P57" s="7">
        <v>29879.200000000001</v>
      </c>
      <c r="Q57" s="2"/>
      <c r="R57" s="6">
        <f t="shared" si="16"/>
        <v>1.27660337163481E-2</v>
      </c>
      <c r="S57" s="2"/>
      <c r="T57" s="7">
        <v>33788.7563523766</v>
      </c>
      <c r="U57" s="2"/>
      <c r="V57" s="6">
        <f t="shared" si="17"/>
        <v>8.5668921301050756E-3</v>
      </c>
      <c r="W57" s="2"/>
      <c r="X57" s="7">
        <f t="shared" si="18"/>
        <v>-3909.5563523765995</v>
      </c>
      <c r="Y57" s="2"/>
      <c r="Z57" s="6">
        <f t="shared" si="19"/>
        <v>-0.11570583751602367</v>
      </c>
    </row>
    <row r="58" spans="1:26" s="24" customFormat="1" hidden="1" outlineLevel="2" x14ac:dyDescent="0.25">
      <c r="A58" s="29"/>
      <c r="B58" s="11" t="str">
        <f>CONCATENATE("          ", "6112", " - ", "COMPENSATION INSURANCE")</f>
        <v xml:space="preserve">          6112 - COMPENSATION INSURANCE</v>
      </c>
      <c r="C58" s="11"/>
      <c r="D58" s="7">
        <v>2568.84</v>
      </c>
      <c r="E58" s="2"/>
      <c r="F58" s="6">
        <f t="shared" si="12"/>
        <v>4.2773682952238646E-3</v>
      </c>
      <c r="G58" s="2"/>
      <c r="H58" s="7">
        <v>3369.8006908646198</v>
      </c>
      <c r="I58" s="2"/>
      <c r="J58" s="6">
        <f t="shared" si="13"/>
        <v>3.9178262229277536E-3</v>
      </c>
      <c r="K58" s="2"/>
      <c r="L58" s="7">
        <f t="shared" si="14"/>
        <v>-800.96069086461966</v>
      </c>
      <c r="M58" s="2"/>
      <c r="N58" s="6">
        <f t="shared" si="15"/>
        <v>-0.23768785288577707</v>
      </c>
      <c r="O58" s="11"/>
      <c r="P58" s="7">
        <v>7114.33</v>
      </c>
      <c r="Q58" s="2"/>
      <c r="R58" s="6">
        <f t="shared" si="16"/>
        <v>3.0396321403928744E-3</v>
      </c>
      <c r="S58" s="2"/>
      <c r="T58" s="7">
        <v>10606.09734531</v>
      </c>
      <c r="U58" s="2"/>
      <c r="V58" s="6">
        <f t="shared" si="17"/>
        <v>2.6890984365061919E-3</v>
      </c>
      <c r="W58" s="2"/>
      <c r="X58" s="7">
        <f t="shared" si="18"/>
        <v>-3491.7673453099997</v>
      </c>
      <c r="Y58" s="2"/>
      <c r="Z58" s="6">
        <f t="shared" si="19"/>
        <v>-0.32922263784935502</v>
      </c>
    </row>
    <row r="59" spans="1:26" s="24" customFormat="1" hidden="1" outlineLevel="2" x14ac:dyDescent="0.25">
      <c r="A59" s="29"/>
      <c r="B59" s="11" t="str">
        <f>CONCATENATE("          ", "6113", " - ", "GROUP INSURANCE")</f>
        <v xml:space="preserve">          6113 - GROUP INSURANCE</v>
      </c>
      <c r="C59" s="11"/>
      <c r="D59" s="7">
        <v>17921.21</v>
      </c>
      <c r="E59" s="2"/>
      <c r="F59" s="6">
        <f t="shared" si="12"/>
        <v>2.9840556619349146E-2</v>
      </c>
      <c r="G59" s="2"/>
      <c r="H59" s="7">
        <v>18681.4230769231</v>
      </c>
      <c r="I59" s="2"/>
      <c r="J59" s="6">
        <f t="shared" si="13"/>
        <v>2.1719554337677416E-2</v>
      </c>
      <c r="K59" s="2"/>
      <c r="L59" s="7">
        <f t="shared" si="14"/>
        <v>-760.21307692310074</v>
      </c>
      <c r="M59" s="2"/>
      <c r="N59" s="6">
        <f t="shared" si="15"/>
        <v>-4.069353141850212E-2</v>
      </c>
      <c r="O59" s="11"/>
      <c r="P59" s="7">
        <v>53714.21</v>
      </c>
      <c r="Q59" s="2"/>
      <c r="R59" s="6">
        <f t="shared" si="16"/>
        <v>2.2949657819051457E-2</v>
      </c>
      <c r="S59" s="2"/>
      <c r="T59" s="7">
        <v>59089.5</v>
      </c>
      <c r="U59" s="2"/>
      <c r="V59" s="6">
        <f t="shared" si="17"/>
        <v>1.4981710698157683E-2</v>
      </c>
      <c r="W59" s="2"/>
      <c r="X59" s="7">
        <f t="shared" si="18"/>
        <v>-5375.2900000000009</v>
      </c>
      <c r="Y59" s="2"/>
      <c r="Z59" s="6">
        <f t="shared" si="19"/>
        <v>-9.0968615405444292E-2</v>
      </c>
    </row>
    <row r="60" spans="1:26" s="24" customFormat="1" hidden="1" outlineLevel="2" x14ac:dyDescent="0.25">
      <c r="A60" s="29"/>
      <c r="B60" s="11" t="str">
        <f>CONCATENATE("          ", "6114", " - ", "STATE UNEMPLOYMENT INSURANCE")</f>
        <v xml:space="preserve">          6114 - STATE UNEMPLOYMENT INSURANCE</v>
      </c>
      <c r="C60" s="11"/>
      <c r="D60" s="7">
        <v>462.15</v>
      </c>
      <c r="E60" s="2"/>
      <c r="F60" s="6">
        <f t="shared" si="12"/>
        <v>7.6952467169528213E-4</v>
      </c>
      <c r="G60" s="2"/>
      <c r="H60" s="7">
        <v>400.68186785307699</v>
      </c>
      <c r="I60" s="2"/>
      <c r="J60" s="6">
        <f t="shared" si="13"/>
        <v>4.658441471574629E-4</v>
      </c>
      <c r="K60" s="2"/>
      <c r="L60" s="7">
        <f t="shared" si="14"/>
        <v>61.468132146922983</v>
      </c>
      <c r="M60" s="2"/>
      <c r="N60" s="6">
        <f t="shared" si="15"/>
        <v>0.15340881901215023</v>
      </c>
      <c r="O60" s="11"/>
      <c r="P60" s="7">
        <v>1285.97</v>
      </c>
      <c r="Q60" s="2"/>
      <c r="R60" s="6">
        <f t="shared" si="16"/>
        <v>5.4943694537377724E-4</v>
      </c>
      <c r="S60" s="2"/>
      <c r="T60" s="7">
        <v>1317.6438416763499</v>
      </c>
      <c r="U60" s="2"/>
      <c r="V60" s="6">
        <f t="shared" si="17"/>
        <v>3.3407896223870839E-4</v>
      </c>
      <c r="W60" s="2"/>
      <c r="X60" s="7">
        <f t="shared" si="18"/>
        <v>-31.673841676349866</v>
      </c>
      <c r="Y60" s="2"/>
      <c r="Z60" s="6">
        <f t="shared" si="19"/>
        <v>-2.4038242106496216E-2</v>
      </c>
    </row>
    <row r="61" spans="1:26" s="24" customFormat="1" hidden="1" outlineLevel="2" x14ac:dyDescent="0.25">
      <c r="A61" s="29"/>
      <c r="B61" s="11" t="str">
        <f>CONCATENATE("          ", "6115", " - ", "P.E.R.S.")</f>
        <v xml:space="preserve">          6115 - P.E.R.S.</v>
      </c>
      <c r="C61" s="11"/>
      <c r="D61" s="7">
        <v>6296.23</v>
      </c>
      <c r="E61" s="2"/>
      <c r="F61" s="6">
        <f t="shared" si="12"/>
        <v>1.0483834953300847E-2</v>
      </c>
      <c r="G61" s="2"/>
      <c r="H61" s="7">
        <v>4943.9983970307703</v>
      </c>
      <c r="I61" s="2"/>
      <c r="J61" s="6">
        <f t="shared" si="13"/>
        <v>5.7480332942272828E-3</v>
      </c>
      <c r="K61" s="2"/>
      <c r="L61" s="7">
        <f t="shared" si="14"/>
        <v>1352.2316029692292</v>
      </c>
      <c r="M61" s="2"/>
      <c r="N61" s="6">
        <f t="shared" si="15"/>
        <v>0.2735097171110214</v>
      </c>
      <c r="O61" s="11"/>
      <c r="P61" s="7">
        <v>18888.689999999999</v>
      </c>
      <c r="Q61" s="2"/>
      <c r="R61" s="6">
        <f t="shared" si="16"/>
        <v>8.0702847933561538E-3</v>
      </c>
      <c r="S61" s="2"/>
      <c r="T61" s="7">
        <v>16811.555751888402</v>
      </c>
      <c r="U61" s="2"/>
      <c r="V61" s="6">
        <f t="shared" si="17"/>
        <v>4.2624470449189921E-3</v>
      </c>
      <c r="W61" s="2"/>
      <c r="X61" s="7">
        <f t="shared" si="18"/>
        <v>2077.1342481115971</v>
      </c>
      <c r="Y61" s="2"/>
      <c r="Z61" s="6">
        <f t="shared" si="19"/>
        <v>0.12355395769236155</v>
      </c>
    </row>
    <row r="62" spans="1:26" s="24" customFormat="1" hidden="1" outlineLevel="2" x14ac:dyDescent="0.25">
      <c r="A62" s="29"/>
      <c r="B62" s="11" t="str">
        <f>CONCATENATE("          ", "6116", " - ", "EDUCATIONAL BENEFITS")</f>
        <v xml:space="preserve">          6116 - EDUCATIONAL BENEFITS</v>
      </c>
      <c r="C62" s="11"/>
      <c r="D62" s="7"/>
      <c r="E62" s="2"/>
      <c r="F62" s="6">
        <f t="shared" si="12"/>
        <v>0</v>
      </c>
      <c r="G62" s="2"/>
      <c r="H62" s="7">
        <v>0</v>
      </c>
      <c r="I62" s="2"/>
      <c r="J62" s="6">
        <f t="shared" si="13"/>
        <v>0</v>
      </c>
      <c r="K62" s="2"/>
      <c r="L62" s="7">
        <f t="shared" si="14"/>
        <v>0</v>
      </c>
      <c r="M62" s="2"/>
      <c r="N62" s="6">
        <f t="shared" si="15"/>
        <v>0</v>
      </c>
      <c r="O62" s="11"/>
      <c r="P62" s="7"/>
      <c r="Q62" s="2"/>
      <c r="R62" s="6">
        <f t="shared" si="16"/>
        <v>0</v>
      </c>
      <c r="S62" s="2"/>
      <c r="T62" s="7">
        <v>0</v>
      </c>
      <c r="U62" s="2"/>
      <c r="V62" s="6">
        <f t="shared" si="17"/>
        <v>0</v>
      </c>
      <c r="W62" s="2"/>
      <c r="X62" s="7">
        <f t="shared" si="18"/>
        <v>0</v>
      </c>
      <c r="Y62" s="2"/>
      <c r="Z62" s="6">
        <f t="shared" si="19"/>
        <v>0</v>
      </c>
    </row>
    <row r="63" spans="1:26" s="24" customFormat="1" hidden="1" outlineLevel="2" x14ac:dyDescent="0.25">
      <c r="A63" s="29"/>
      <c r="B63" s="11" t="str">
        <f>CONCATENATE("          ", "6117", " - ", "RETIREMENT STAFF HOURLY")</f>
        <v xml:space="preserve">          6117 - RETIREMENT STAFF HOURLY</v>
      </c>
      <c r="C63" s="11"/>
      <c r="D63" s="7">
        <v>424.12</v>
      </c>
      <c r="E63" s="2"/>
      <c r="F63" s="6">
        <f t="shared" si="12"/>
        <v>7.0620102512042218E-4</v>
      </c>
      <c r="G63" s="2"/>
      <c r="H63" s="7"/>
      <c r="I63" s="2"/>
      <c r="J63" s="6">
        <f t="shared" si="13"/>
        <v>0</v>
      </c>
      <c r="K63" s="2"/>
      <c r="L63" s="7">
        <f t="shared" si="14"/>
        <v>424.12</v>
      </c>
      <c r="M63" s="2"/>
      <c r="N63" s="6">
        <f t="shared" si="15"/>
        <v>0</v>
      </c>
      <c r="O63" s="11"/>
      <c r="P63" s="7">
        <v>1939.65</v>
      </c>
      <c r="Q63" s="2"/>
      <c r="R63" s="6">
        <f t="shared" si="16"/>
        <v>8.2872490889697827E-4</v>
      </c>
      <c r="S63" s="2"/>
      <c r="T63" s="7"/>
      <c r="U63" s="2"/>
      <c r="V63" s="6">
        <f t="shared" si="17"/>
        <v>0</v>
      </c>
      <c r="W63" s="2"/>
      <c r="X63" s="7">
        <f t="shared" si="18"/>
        <v>1939.65</v>
      </c>
      <c r="Y63" s="2"/>
      <c r="Z63" s="6">
        <f t="shared" si="19"/>
        <v>0</v>
      </c>
    </row>
    <row r="64" spans="1:26" s="24" customFormat="1" hidden="1" outlineLevel="2" x14ac:dyDescent="0.25">
      <c r="A64" s="29"/>
      <c r="B64" s="11" t="str">
        <f>CONCATENATE("          ", "6118", " - ", "VACATION")</f>
        <v xml:space="preserve">          6118 - VACATION</v>
      </c>
      <c r="C64" s="11"/>
      <c r="D64" s="7">
        <v>4674.6000000000004</v>
      </c>
      <c r="E64" s="2"/>
      <c r="F64" s="6">
        <f t="shared" si="12"/>
        <v>7.7836633783550067E-3</v>
      </c>
      <c r="G64" s="2"/>
      <c r="H64" s="7">
        <v>4408.8068495922998</v>
      </c>
      <c r="I64" s="2"/>
      <c r="J64" s="6">
        <f t="shared" si="13"/>
        <v>5.1258043640332743E-3</v>
      </c>
      <c r="K64" s="2"/>
      <c r="L64" s="7">
        <f t="shared" si="14"/>
        <v>265.79315040770052</v>
      </c>
      <c r="M64" s="2"/>
      <c r="N64" s="6">
        <f t="shared" si="15"/>
        <v>6.0286866600263854E-2</v>
      </c>
      <c r="O64" s="11"/>
      <c r="P64" s="7">
        <v>15625.33</v>
      </c>
      <c r="Q64" s="2"/>
      <c r="R64" s="6">
        <f t="shared" si="16"/>
        <v>6.6759983402857326E-3</v>
      </c>
      <c r="S64" s="2"/>
      <c r="T64" s="7">
        <v>15193.2280304058</v>
      </c>
      <c r="U64" s="2"/>
      <c r="V64" s="6">
        <f t="shared" si="17"/>
        <v>3.8521318833748762E-3</v>
      </c>
      <c r="W64" s="2"/>
      <c r="X64" s="7">
        <f t="shared" si="18"/>
        <v>432.10196959419955</v>
      </c>
      <c r="Y64" s="2"/>
      <c r="Z64" s="6">
        <f t="shared" si="19"/>
        <v>2.8440432061537249E-2</v>
      </c>
    </row>
    <row r="65" spans="1:26" s="24" customFormat="1" hidden="1" outlineLevel="2" x14ac:dyDescent="0.25">
      <c r="A65" s="29"/>
      <c r="B65" s="11" t="str">
        <f>CONCATENATE("          ", "6119", " - ", "SICK LEAVE")</f>
        <v xml:space="preserve">          6119 - SICK LEAVE</v>
      </c>
      <c r="C65" s="11"/>
      <c r="D65" s="7">
        <v>3898.37</v>
      </c>
      <c r="E65" s="2"/>
      <c r="F65" s="6">
        <f t="shared" si="12"/>
        <v>6.4911649775976138E-3</v>
      </c>
      <c r="G65" s="2"/>
      <c r="H65" s="7">
        <v>6968.6275610307703</v>
      </c>
      <c r="I65" s="2"/>
      <c r="J65" s="6">
        <f t="shared" si="13"/>
        <v>8.1019248023889347E-3</v>
      </c>
      <c r="K65" s="2"/>
      <c r="L65" s="7">
        <f t="shared" si="14"/>
        <v>-3070.2575610307704</v>
      </c>
      <c r="M65" s="2"/>
      <c r="N65" s="6">
        <f t="shared" si="15"/>
        <v>-0.44058281693800705</v>
      </c>
      <c r="O65" s="11"/>
      <c r="P65" s="7">
        <v>11670.47</v>
      </c>
      <c r="Q65" s="2"/>
      <c r="R65" s="6">
        <f t="shared" si="16"/>
        <v>4.9862651445028317E-3</v>
      </c>
      <c r="S65" s="2"/>
      <c r="T65" s="7">
        <v>23041.357457965401</v>
      </c>
      <c r="U65" s="2"/>
      <c r="V65" s="6">
        <f t="shared" si="17"/>
        <v>5.8419677189361146E-3</v>
      </c>
      <c r="W65" s="2"/>
      <c r="X65" s="7">
        <f t="shared" si="18"/>
        <v>-11370.887457965402</v>
      </c>
      <c r="Y65" s="2"/>
      <c r="Z65" s="6">
        <f t="shared" si="19"/>
        <v>-0.49349902577178606</v>
      </c>
    </row>
    <row r="66" spans="1:26" s="24" customFormat="1" hidden="1" outlineLevel="2" x14ac:dyDescent="0.25">
      <c r="A66" s="29"/>
      <c r="B66" s="11" t="str">
        <f>CONCATENATE("          ", "6156", " - ", "EMPLOYEE MEALS")</f>
        <v xml:space="preserve">          6156 - EMPLOYEE MEALS</v>
      </c>
      <c r="C66" s="11"/>
      <c r="D66" s="7">
        <v>2341.94</v>
      </c>
      <c r="E66" s="2"/>
      <c r="F66" s="6">
        <f t="shared" si="12"/>
        <v>3.8995577401926846E-3</v>
      </c>
      <c r="G66" s="2"/>
      <c r="H66" s="7">
        <v>2450</v>
      </c>
      <c r="I66" s="2"/>
      <c r="J66" s="6">
        <f t="shared" si="13"/>
        <v>2.8484397525926613E-3</v>
      </c>
      <c r="K66" s="2"/>
      <c r="L66" s="7">
        <f t="shared" si="14"/>
        <v>-108.05999999999995</v>
      </c>
      <c r="M66" s="2"/>
      <c r="N66" s="6">
        <f t="shared" si="15"/>
        <v>-4.4106122448979566E-2</v>
      </c>
      <c r="O66" s="11"/>
      <c r="P66" s="7">
        <v>6039.3</v>
      </c>
      <c r="Q66" s="2"/>
      <c r="R66" s="6">
        <f t="shared" si="16"/>
        <v>2.5803203373296838E-3</v>
      </c>
      <c r="S66" s="2"/>
      <c r="T66" s="7">
        <v>7350</v>
      </c>
      <c r="U66" s="2"/>
      <c r="V66" s="6">
        <f t="shared" si="17"/>
        <v>1.8635387612259194E-3</v>
      </c>
      <c r="W66" s="2"/>
      <c r="X66" s="7">
        <f t="shared" si="18"/>
        <v>-1310.6999999999998</v>
      </c>
      <c r="Y66" s="2"/>
      <c r="Z66" s="6">
        <f t="shared" si="19"/>
        <v>-0.17832653061224488</v>
      </c>
    </row>
    <row r="67" spans="1:26" s="28" customFormat="1" outlineLevel="1" collapsed="1" x14ac:dyDescent="0.25">
      <c r="A67" s="27"/>
      <c r="B67" s="14" t="str">
        <f>CONCATENATE("     ","*Payroll                                          ")</f>
        <v xml:space="preserve">     *Payroll                                          </v>
      </c>
      <c r="C67" s="14"/>
      <c r="D67" s="1">
        <f>SUM(OSRRefD22_1x_0)</f>
        <v>163102.01</v>
      </c>
      <c r="E67" s="1"/>
      <c r="F67" s="5">
        <f t="shared" ref="F67:F77" si="20">IF(D$12=0,0,D67/D$12)</f>
        <v>0.27158070041780946</v>
      </c>
      <c r="G67" s="1"/>
      <c r="H67" s="1">
        <f>SUM(OSRRefH22_1x_0)</f>
        <v>182784.99477602297</v>
      </c>
      <c r="I67" s="1"/>
      <c r="J67" s="5">
        <f t="shared" ref="J67:J77" si="21">IF(H$12=0,0,H67/H$12)</f>
        <v>0.21251103889692483</v>
      </c>
      <c r="K67" s="1"/>
      <c r="L67" s="1">
        <f t="shared" ref="L67:L77" si="22">+D67-H67</f>
        <v>-19682.98477602296</v>
      </c>
      <c r="M67" s="1"/>
      <c r="N67" s="5">
        <f t="shared" ref="N67:N77" si="23">IF(H67=0,0,L67/H67)</f>
        <v>-0.10768381069869362</v>
      </c>
      <c r="O67" s="14"/>
      <c r="P67" s="1">
        <f>SUM(OSRRefP22_1x_0)</f>
        <v>519594.58000000007</v>
      </c>
      <c r="Q67" s="1"/>
      <c r="R67" s="5">
        <f t="shared" ref="R67:R77" si="24">IF(P$12=0,0,P67/P$12)</f>
        <v>0.22199931481136481</v>
      </c>
      <c r="S67" s="1"/>
      <c r="T67" s="1">
        <f>SUM(OSRRefT22_1x_0)</f>
        <v>600857.3945605359</v>
      </c>
      <c r="U67" s="1"/>
      <c r="V67" s="5">
        <f t="shared" ref="V67:V77" si="25">IF(T$12=0,0,T67/T$12)</f>
        <v>0.15234299928337069</v>
      </c>
      <c r="W67" s="1"/>
      <c r="X67" s="1">
        <f t="shared" ref="X67:X77" si="26">+P67-T67</f>
        <v>-81262.81456053583</v>
      </c>
      <c r="Y67" s="1"/>
      <c r="Z67" s="5">
        <f t="shared" ref="Z67:Z77" si="27">IF(T67=0,0,X67/T67)</f>
        <v>-0.13524476073057409</v>
      </c>
    </row>
    <row r="68" spans="1:26" s="24" customFormat="1" hidden="1" outlineLevel="2" x14ac:dyDescent="0.25">
      <c r="A68" s="29"/>
      <c r="B68" s="11" t="str">
        <f>CONCATENATE("          ", "6001", " - ", "ADMINISTRATIVE SALARIES")</f>
        <v xml:space="preserve">          6001 - ADMINISTRATIVE SALARIES</v>
      </c>
      <c r="C68" s="11"/>
      <c r="D68" s="7">
        <v>4479.1000000000004</v>
      </c>
      <c r="E68" s="2"/>
      <c r="F68" s="6">
        <f t="shared" si="20"/>
        <v>7.4581368754524265E-3</v>
      </c>
      <c r="G68" s="2"/>
      <c r="H68" s="7">
        <v>4139.8076923076896</v>
      </c>
      <c r="I68" s="2"/>
      <c r="J68" s="6">
        <f t="shared" si="21"/>
        <v>4.813058285248209E-3</v>
      </c>
      <c r="K68" s="2"/>
      <c r="L68" s="7">
        <f t="shared" si="22"/>
        <v>339.29230769231071</v>
      </c>
      <c r="M68" s="2"/>
      <c r="N68" s="6">
        <f t="shared" si="23"/>
        <v>8.1958470757653959E-2</v>
      </c>
      <c r="O68" s="11"/>
      <c r="P68" s="7">
        <v>14557.3</v>
      </c>
      <c r="Q68" s="2"/>
      <c r="R68" s="6">
        <f t="shared" si="24"/>
        <v>6.2196773213136292E-3</v>
      </c>
      <c r="S68" s="2"/>
      <c r="T68" s="7">
        <v>13454.375</v>
      </c>
      <c r="U68" s="2"/>
      <c r="V68" s="6">
        <f t="shared" si="25"/>
        <v>3.4112584109617658E-3</v>
      </c>
      <c r="W68" s="2"/>
      <c r="X68" s="7">
        <f t="shared" si="26"/>
        <v>1102.9249999999993</v>
      </c>
      <c r="Y68" s="2"/>
      <c r="Z68" s="6">
        <f t="shared" si="27"/>
        <v>8.1975193942490768E-2</v>
      </c>
    </row>
    <row r="69" spans="1:26" s="24" customFormat="1" hidden="1" outlineLevel="2" x14ac:dyDescent="0.25">
      <c r="A69" s="29"/>
      <c r="B69" s="11" t="str">
        <f>CONCATENATE("          ", "6002", " - ", "STAFF SALARIES")</f>
        <v xml:space="preserve">          6002 - STAFF SALARIES</v>
      </c>
      <c r="C69" s="11"/>
      <c r="D69" s="7">
        <v>59317.32</v>
      </c>
      <c r="E69" s="2"/>
      <c r="F69" s="6">
        <f t="shared" si="20"/>
        <v>9.8769103535311042E-2</v>
      </c>
      <c r="G69" s="2"/>
      <c r="H69" s="7">
        <v>47498.062315715302</v>
      </c>
      <c r="I69" s="2"/>
      <c r="J69" s="6">
        <f t="shared" si="21"/>
        <v>5.5222599539268127E-2</v>
      </c>
      <c r="K69" s="2"/>
      <c r="L69" s="7">
        <f t="shared" si="22"/>
        <v>11819.257684284697</v>
      </c>
      <c r="M69" s="2"/>
      <c r="N69" s="6">
        <f t="shared" si="23"/>
        <v>0.24883662844440194</v>
      </c>
      <c r="O69" s="11"/>
      <c r="P69" s="7">
        <v>186603.07</v>
      </c>
      <c r="Q69" s="2"/>
      <c r="R69" s="6">
        <f t="shared" si="24"/>
        <v>7.9727070443454465E-2</v>
      </c>
      <c r="S69" s="2"/>
      <c r="T69" s="7">
        <v>161717.85156453599</v>
      </c>
      <c r="U69" s="2"/>
      <c r="V69" s="6">
        <f t="shared" si="25"/>
        <v>4.1002378880638436E-2</v>
      </c>
      <c r="W69" s="2"/>
      <c r="X69" s="7">
        <f t="shared" si="26"/>
        <v>24885.218435464019</v>
      </c>
      <c r="Y69" s="2"/>
      <c r="Z69" s="6">
        <f t="shared" si="27"/>
        <v>0.15388046647115636</v>
      </c>
    </row>
    <row r="70" spans="1:26" s="24" customFormat="1" hidden="1" outlineLevel="2" x14ac:dyDescent="0.25">
      <c r="A70" s="29"/>
      <c r="B70" s="11" t="str">
        <f>CONCATENATE("          ", "6003", " - ", "STAFF HOURLY-9 MONTH")</f>
        <v xml:space="preserve">          6003 - STAFF HOURLY-9 MONTH</v>
      </c>
      <c r="C70" s="11"/>
      <c r="D70" s="7"/>
      <c r="E70" s="2"/>
      <c r="F70" s="6">
        <f t="shared" si="20"/>
        <v>0</v>
      </c>
      <c r="G70" s="2"/>
      <c r="H70" s="7">
        <v>0</v>
      </c>
      <c r="I70" s="2"/>
      <c r="J70" s="6">
        <f t="shared" si="21"/>
        <v>0</v>
      </c>
      <c r="K70" s="2"/>
      <c r="L70" s="7">
        <f t="shared" si="22"/>
        <v>0</v>
      </c>
      <c r="M70" s="2"/>
      <c r="N70" s="6">
        <f t="shared" si="23"/>
        <v>0</v>
      </c>
      <c r="O70" s="11"/>
      <c r="P70" s="7"/>
      <c r="Q70" s="2"/>
      <c r="R70" s="6">
        <f t="shared" si="24"/>
        <v>0</v>
      </c>
      <c r="S70" s="2"/>
      <c r="T70" s="7">
        <v>0</v>
      </c>
      <c r="U70" s="2"/>
      <c r="V70" s="6">
        <f t="shared" si="25"/>
        <v>0</v>
      </c>
      <c r="W70" s="2"/>
      <c r="X70" s="7">
        <f t="shared" si="26"/>
        <v>0</v>
      </c>
      <c r="Y70" s="2"/>
      <c r="Z70" s="6">
        <f t="shared" si="27"/>
        <v>0</v>
      </c>
    </row>
    <row r="71" spans="1:26" s="24" customFormat="1" hidden="1" outlineLevel="2" x14ac:dyDescent="0.25">
      <c r="A71" s="29"/>
      <c r="B71" s="11" t="str">
        <f>CONCATENATE("          ", "6004", " - ", "STAFF HOURLY")</f>
        <v xml:space="preserve">          6004 - STAFF HOURLY</v>
      </c>
      <c r="C71" s="11"/>
      <c r="D71" s="7">
        <v>21848.69</v>
      </c>
      <c r="E71" s="2"/>
      <c r="F71" s="6">
        <f t="shared" si="20"/>
        <v>3.6380192576483811E-2</v>
      </c>
      <c r="G71" s="2"/>
      <c r="H71" s="7">
        <v>36815.814767999997</v>
      </c>
      <c r="I71" s="2"/>
      <c r="J71" s="6">
        <f t="shared" si="21"/>
        <v>4.2803114411942518E-2</v>
      </c>
      <c r="K71" s="2"/>
      <c r="L71" s="7">
        <f t="shared" si="22"/>
        <v>-14967.124767999998</v>
      </c>
      <c r="M71" s="2"/>
      <c r="N71" s="6">
        <f t="shared" si="23"/>
        <v>-0.40654063647151167</v>
      </c>
      <c r="O71" s="11"/>
      <c r="P71" s="7">
        <v>59611.89</v>
      </c>
      <c r="Q71" s="2"/>
      <c r="R71" s="6">
        <f t="shared" si="24"/>
        <v>2.5469470321669727E-2</v>
      </c>
      <c r="S71" s="2"/>
      <c r="T71" s="7">
        <v>116326.722996</v>
      </c>
      <c r="U71" s="2"/>
      <c r="V71" s="6">
        <f t="shared" si="25"/>
        <v>2.9493790104685239E-2</v>
      </c>
      <c r="W71" s="2"/>
      <c r="X71" s="7">
        <f t="shared" si="26"/>
        <v>-56714.832995999997</v>
      </c>
      <c r="Y71" s="2"/>
      <c r="Z71" s="6">
        <f t="shared" si="27"/>
        <v>-0.48754775803277972</v>
      </c>
    </row>
    <row r="72" spans="1:26" s="24" customFormat="1" hidden="1" outlineLevel="2" x14ac:dyDescent="0.25">
      <c r="A72" s="29"/>
      <c r="B72" s="11" t="str">
        <f>CONCATENATE("          ", "6005", " - ", "TEMPORARY WAGES-HOURLY")</f>
        <v xml:space="preserve">          6005 - TEMPORARY WAGES-HOURLY</v>
      </c>
      <c r="C72" s="11"/>
      <c r="D72" s="7">
        <v>10825.92</v>
      </c>
      <c r="E72" s="2"/>
      <c r="F72" s="6">
        <f t="shared" si="20"/>
        <v>1.8026209096179573E-2</v>
      </c>
      <c r="G72" s="2"/>
      <c r="H72" s="7">
        <v>3455</v>
      </c>
      <c r="I72" s="2"/>
      <c r="J72" s="6">
        <f t="shared" si="21"/>
        <v>4.0168813653908755E-3</v>
      </c>
      <c r="K72" s="2"/>
      <c r="L72" s="7">
        <f t="shared" si="22"/>
        <v>7370.92</v>
      </c>
      <c r="M72" s="2"/>
      <c r="N72" s="6">
        <f t="shared" si="23"/>
        <v>2.1334066570188135</v>
      </c>
      <c r="O72" s="11"/>
      <c r="P72" s="7">
        <v>31245.61</v>
      </c>
      <c r="Q72" s="2"/>
      <c r="R72" s="6">
        <f t="shared" si="24"/>
        <v>1.3349839043477181E-2</v>
      </c>
      <c r="S72" s="2"/>
      <c r="T72" s="7">
        <v>11646</v>
      </c>
      <c r="U72" s="2"/>
      <c r="V72" s="6">
        <f t="shared" si="25"/>
        <v>2.9527581514608241E-3</v>
      </c>
      <c r="W72" s="2"/>
      <c r="X72" s="7">
        <f t="shared" si="26"/>
        <v>19599.61</v>
      </c>
      <c r="Y72" s="2"/>
      <c r="Z72" s="6">
        <f t="shared" si="27"/>
        <v>1.6829477932337285</v>
      </c>
    </row>
    <row r="73" spans="1:26" s="24" customFormat="1" hidden="1" outlineLevel="2" x14ac:dyDescent="0.25">
      <c r="A73" s="29"/>
      <c r="B73" s="11" t="str">
        <f>CONCATENATE("          ", "6006", " - ", "TEMPORARY PART TIME")</f>
        <v xml:space="preserve">          6006 - TEMPORARY PART TIME</v>
      </c>
      <c r="C73" s="11"/>
      <c r="D73" s="7">
        <v>2957.46</v>
      </c>
      <c r="E73" s="2"/>
      <c r="F73" s="6">
        <f t="shared" si="20"/>
        <v>4.9244583696893421E-3</v>
      </c>
      <c r="G73" s="2"/>
      <c r="H73" s="7">
        <v>0</v>
      </c>
      <c r="I73" s="2"/>
      <c r="J73" s="6">
        <f t="shared" si="21"/>
        <v>0</v>
      </c>
      <c r="K73" s="2"/>
      <c r="L73" s="7">
        <f t="shared" si="22"/>
        <v>2957.46</v>
      </c>
      <c r="M73" s="2"/>
      <c r="N73" s="6">
        <f t="shared" si="23"/>
        <v>0</v>
      </c>
      <c r="O73" s="11"/>
      <c r="P73" s="7">
        <v>9095.65</v>
      </c>
      <c r="Q73" s="2"/>
      <c r="R73" s="6">
        <f t="shared" si="24"/>
        <v>3.8861607597292292E-3</v>
      </c>
      <c r="S73" s="2"/>
      <c r="T73" s="7">
        <v>0</v>
      </c>
      <c r="U73" s="2"/>
      <c r="V73" s="6">
        <f t="shared" si="25"/>
        <v>0</v>
      </c>
      <c r="W73" s="2"/>
      <c r="X73" s="7">
        <f t="shared" si="26"/>
        <v>9095.65</v>
      </c>
      <c r="Y73" s="2"/>
      <c r="Z73" s="6">
        <f t="shared" si="27"/>
        <v>0</v>
      </c>
    </row>
    <row r="74" spans="1:26" s="24" customFormat="1" hidden="1" outlineLevel="2" x14ac:dyDescent="0.25">
      <c r="A74" s="29"/>
      <c r="B74" s="11" t="str">
        <f>CONCATENATE("          ", "6007", " - ", "STUDENT HOURLY")</f>
        <v xml:space="preserve">          6007 - STUDENT HOURLY</v>
      </c>
      <c r="C74" s="11"/>
      <c r="D74" s="7">
        <v>54007.28</v>
      </c>
      <c r="E74" s="2"/>
      <c r="F74" s="6">
        <f t="shared" si="20"/>
        <v>8.9927370791204539E-2</v>
      </c>
      <c r="G74" s="2"/>
      <c r="H74" s="7">
        <v>28753.599999999999</v>
      </c>
      <c r="I74" s="2"/>
      <c r="J74" s="6">
        <f t="shared" si="21"/>
        <v>3.3429753987815655E-2</v>
      </c>
      <c r="K74" s="2"/>
      <c r="L74" s="7">
        <f t="shared" si="22"/>
        <v>25253.68</v>
      </c>
      <c r="M74" s="2"/>
      <c r="N74" s="6">
        <f t="shared" si="23"/>
        <v>0.87827889377330148</v>
      </c>
      <c r="O74" s="11"/>
      <c r="P74" s="7">
        <v>184751.17</v>
      </c>
      <c r="Q74" s="2"/>
      <c r="R74" s="6">
        <f t="shared" si="24"/>
        <v>7.8935837149413629E-2</v>
      </c>
      <c r="S74" s="2"/>
      <c r="T74" s="7">
        <v>123073.88</v>
      </c>
      <c r="U74" s="2"/>
      <c r="V74" s="6">
        <f t="shared" si="25"/>
        <v>3.1204482431900337E-2</v>
      </c>
      <c r="W74" s="2"/>
      <c r="X74" s="7">
        <f t="shared" si="26"/>
        <v>61677.290000000008</v>
      </c>
      <c r="Y74" s="2"/>
      <c r="Z74" s="6">
        <f t="shared" si="27"/>
        <v>0.50114037194569638</v>
      </c>
    </row>
    <row r="75" spans="1:26" s="24" customFormat="1" hidden="1" outlineLevel="2" x14ac:dyDescent="0.25">
      <c r="A75" s="29"/>
      <c r="B75" s="11" t="str">
        <f>CONCATENATE("          ", "6008", " - ", "STUDENT HOURLY-FICA EXEMPT")</f>
        <v xml:space="preserve">          6008 - STUDENT HOURLY-FICA EXEMPT</v>
      </c>
      <c r="C75" s="11"/>
      <c r="D75" s="7">
        <v>9666.24</v>
      </c>
      <c r="E75" s="2"/>
      <c r="F75" s="6">
        <f t="shared" si="20"/>
        <v>1.6095229173488705E-2</v>
      </c>
      <c r="G75" s="2"/>
      <c r="H75" s="7">
        <v>62122.71</v>
      </c>
      <c r="I75" s="2"/>
      <c r="J75" s="6">
        <f t="shared" si="21"/>
        <v>7.2225631307259452E-2</v>
      </c>
      <c r="K75" s="2"/>
      <c r="L75" s="7">
        <f t="shared" si="22"/>
        <v>-52456.47</v>
      </c>
      <c r="M75" s="2"/>
      <c r="N75" s="6">
        <f t="shared" si="23"/>
        <v>-0.84440086403184922</v>
      </c>
      <c r="O75" s="11"/>
      <c r="P75" s="7">
        <v>33729.89</v>
      </c>
      <c r="Q75" s="2"/>
      <c r="R75" s="6">
        <f t="shared" si="24"/>
        <v>1.4411259772306909E-2</v>
      </c>
      <c r="S75" s="2"/>
      <c r="T75" s="7">
        <v>174638.565</v>
      </c>
      <c r="U75" s="2"/>
      <c r="V75" s="6">
        <f t="shared" si="25"/>
        <v>4.4278331303724112E-2</v>
      </c>
      <c r="W75" s="2"/>
      <c r="X75" s="7">
        <f t="shared" si="26"/>
        <v>-140908.67499999999</v>
      </c>
      <c r="Y75" s="2"/>
      <c r="Z75" s="6">
        <f t="shared" si="27"/>
        <v>-0.80685886877277069</v>
      </c>
    </row>
    <row r="76" spans="1:26" s="24" customFormat="1" hidden="1" outlineLevel="2" x14ac:dyDescent="0.25">
      <c r="A76" s="29"/>
      <c r="B76" s="11" t="str">
        <f>CONCATENATE("          ", "6009", " - ", "TEMPORARY-SEASONAL")</f>
        <v xml:space="preserve">          6009 - TEMPORARY-SEASONAL</v>
      </c>
      <c r="C76" s="11"/>
      <c r="D76" s="7"/>
      <c r="E76" s="2"/>
      <c r="F76" s="6">
        <f t="shared" si="20"/>
        <v>0</v>
      </c>
      <c r="G76" s="2"/>
      <c r="H76" s="7">
        <v>0</v>
      </c>
      <c r="I76" s="2"/>
      <c r="J76" s="6">
        <f t="shared" si="21"/>
        <v>0</v>
      </c>
      <c r="K76" s="2"/>
      <c r="L76" s="7">
        <f t="shared" si="22"/>
        <v>0</v>
      </c>
      <c r="M76" s="2"/>
      <c r="N76" s="6">
        <f t="shared" si="23"/>
        <v>0</v>
      </c>
      <c r="O76" s="11"/>
      <c r="P76" s="7"/>
      <c r="Q76" s="2"/>
      <c r="R76" s="6">
        <f t="shared" si="24"/>
        <v>0</v>
      </c>
      <c r="S76" s="2"/>
      <c r="T76" s="7">
        <v>0</v>
      </c>
      <c r="U76" s="2"/>
      <c r="V76" s="6">
        <f t="shared" si="25"/>
        <v>0</v>
      </c>
      <c r="W76" s="2"/>
      <c r="X76" s="7">
        <f t="shared" si="26"/>
        <v>0</v>
      </c>
      <c r="Y76" s="2"/>
      <c r="Z76" s="6">
        <f t="shared" si="27"/>
        <v>0</v>
      </c>
    </row>
    <row r="77" spans="1:26" s="24" customFormat="1" hidden="1" outlineLevel="2" x14ac:dyDescent="0.25">
      <c r="A77" s="29"/>
      <c r="B77" s="11" t="str">
        <f>CONCATENATE("          ", "6010", " - ", "GRATUITY")</f>
        <v xml:space="preserve">          6010 - GRATUITY</v>
      </c>
      <c r="C77" s="11"/>
      <c r="D77" s="7"/>
      <c r="E77" s="2"/>
      <c r="F77" s="6">
        <f t="shared" si="20"/>
        <v>0</v>
      </c>
      <c r="G77" s="2"/>
      <c r="H77" s="7">
        <v>0</v>
      </c>
      <c r="I77" s="2"/>
      <c r="J77" s="6">
        <f t="shared" si="21"/>
        <v>0</v>
      </c>
      <c r="K77" s="2"/>
      <c r="L77" s="7">
        <f t="shared" si="22"/>
        <v>0</v>
      </c>
      <c r="M77" s="2"/>
      <c r="N77" s="6">
        <f t="shared" si="23"/>
        <v>0</v>
      </c>
      <c r="O77" s="11"/>
      <c r="P77" s="7"/>
      <c r="Q77" s="2"/>
      <c r="R77" s="6">
        <f t="shared" si="24"/>
        <v>0</v>
      </c>
      <c r="S77" s="2"/>
      <c r="T77" s="7">
        <v>0</v>
      </c>
      <c r="U77" s="2"/>
      <c r="V77" s="6">
        <f t="shared" si="25"/>
        <v>0</v>
      </c>
      <c r="W77" s="2"/>
      <c r="X77" s="7">
        <f t="shared" si="26"/>
        <v>0</v>
      </c>
      <c r="Y77" s="2"/>
      <c r="Z77" s="6">
        <f t="shared" si="27"/>
        <v>0</v>
      </c>
    </row>
    <row r="78" spans="1:26" s="28" customFormat="1" outlineLevel="1" collapsed="1" x14ac:dyDescent="0.25">
      <c r="A78" s="27"/>
      <c r="B78" s="14" t="str">
        <f>CONCATENATE("     ","Advertising/Promo                                 ")</f>
        <v xml:space="preserve">     Advertising/Promo                                 </v>
      </c>
      <c r="C78" s="14"/>
      <c r="D78" s="1">
        <f>SUM(OSRRefD22_2x_0)</f>
        <v>163.18</v>
      </c>
      <c r="E78" s="1"/>
      <c r="F78" s="5">
        <f t="shared" ref="F78:F86" si="28">IF(D$12=0,0,D78/D$12)</f>
        <v>2.7171056134855817E-4</v>
      </c>
      <c r="G78" s="1"/>
      <c r="H78" s="1">
        <f>SUM(OSRRefH22_2x_0)</f>
        <v>300</v>
      </c>
      <c r="I78" s="1"/>
      <c r="J78" s="5">
        <f t="shared" ref="J78:J86" si="29">IF(H$12=0,0,H78/H$12)</f>
        <v>3.4878854113379527E-4</v>
      </c>
      <c r="K78" s="1"/>
      <c r="L78" s="1">
        <f t="shared" ref="L78:L86" si="30">+D78-H78</f>
        <v>-136.82</v>
      </c>
      <c r="M78" s="1"/>
      <c r="N78" s="5">
        <f t="shared" ref="N78:N86" si="31">IF(H78=0,0,L78/H78)</f>
        <v>-0.45606666666666662</v>
      </c>
      <c r="O78" s="14"/>
      <c r="P78" s="1">
        <f>SUM(OSRRefP22_2x_0)</f>
        <v>2287.3200000000002</v>
      </c>
      <c r="Q78" s="1"/>
      <c r="R78" s="5">
        <f t="shared" ref="R78:R86" si="32">IF(P$12=0,0,P78/P$12)</f>
        <v>9.7726860960391628E-4</v>
      </c>
      <c r="S78" s="1"/>
      <c r="T78" s="1">
        <f>SUM(OSRRefT22_2x_0)</f>
        <v>3900</v>
      </c>
      <c r="U78" s="1"/>
      <c r="V78" s="5">
        <f t="shared" ref="V78:V86" si="33">IF(T$12=0,0,T78/T$12)</f>
        <v>9.8881648554844715E-4</v>
      </c>
      <c r="W78" s="1"/>
      <c r="X78" s="1">
        <f t="shared" ref="X78:X86" si="34">+P78-T78</f>
        <v>-1612.6799999999998</v>
      </c>
      <c r="Y78" s="1"/>
      <c r="Z78" s="5">
        <f t="shared" ref="Z78:Z86" si="35">IF(T78=0,0,X78/T78)</f>
        <v>-0.41350769230769224</v>
      </c>
    </row>
    <row r="79" spans="1:26" s="24" customFormat="1" hidden="1" outlineLevel="2" x14ac:dyDescent="0.25">
      <c r="A79" s="29"/>
      <c r="B79" s="11" t="str">
        <f>CONCATENATE("          ", "6362", " - ", "ADVERTISING EXPENSE")</f>
        <v xml:space="preserve">          6362 - ADVERTISING EXPENSE</v>
      </c>
      <c r="C79" s="11"/>
      <c r="D79" s="7">
        <v>163.18</v>
      </c>
      <c r="E79" s="2"/>
      <c r="F79" s="6">
        <f t="shared" si="28"/>
        <v>2.7171056134855817E-4</v>
      </c>
      <c r="G79" s="2"/>
      <c r="H79" s="7">
        <v>300</v>
      </c>
      <c r="I79" s="2"/>
      <c r="J79" s="6">
        <f t="shared" si="29"/>
        <v>3.4878854113379527E-4</v>
      </c>
      <c r="K79" s="2"/>
      <c r="L79" s="7">
        <f t="shared" si="30"/>
        <v>-136.82</v>
      </c>
      <c r="M79" s="2"/>
      <c r="N79" s="6">
        <f t="shared" si="31"/>
        <v>-0.45606666666666662</v>
      </c>
      <c r="O79" s="11"/>
      <c r="P79" s="7">
        <v>2287.3200000000002</v>
      </c>
      <c r="Q79" s="2"/>
      <c r="R79" s="6">
        <f t="shared" si="32"/>
        <v>9.7726860960391628E-4</v>
      </c>
      <c r="S79" s="2"/>
      <c r="T79" s="7">
        <v>3900</v>
      </c>
      <c r="U79" s="2"/>
      <c r="V79" s="6">
        <f t="shared" si="33"/>
        <v>9.8881648554844715E-4</v>
      </c>
      <c r="W79" s="2"/>
      <c r="X79" s="7">
        <f t="shared" si="34"/>
        <v>-1612.6799999999998</v>
      </c>
      <c r="Y79" s="2"/>
      <c r="Z79" s="6">
        <f t="shared" si="35"/>
        <v>-0.41350769230769224</v>
      </c>
    </row>
    <row r="80" spans="1:26" s="28" customFormat="1" outlineLevel="1" collapsed="1" x14ac:dyDescent="0.25">
      <c r="A80" s="27"/>
      <c r="B80" s="14" t="str">
        <f>CONCATENATE("     ","Bad Debts/Over/Short                              ")</f>
        <v xml:space="preserve">     Bad Debts/Over/Short                              </v>
      </c>
      <c r="C80" s="14"/>
      <c r="D80" s="1">
        <f>SUM(OSRRefD22_3x_0)</f>
        <v>112.67</v>
      </c>
      <c r="E80" s="1"/>
      <c r="F80" s="5">
        <f t="shared" si="28"/>
        <v>1.8760650169838246E-4</v>
      </c>
      <c r="G80" s="1"/>
      <c r="H80" s="1">
        <f>SUM(OSRRefH22_3x_0)</f>
        <v>235</v>
      </c>
      <c r="I80" s="1"/>
      <c r="J80" s="5">
        <f t="shared" si="29"/>
        <v>2.7321769055480629E-4</v>
      </c>
      <c r="K80" s="1"/>
      <c r="L80" s="1">
        <f t="shared" si="30"/>
        <v>-122.33</v>
      </c>
      <c r="M80" s="1"/>
      <c r="N80" s="5">
        <f t="shared" si="31"/>
        <v>-0.52055319148936174</v>
      </c>
      <c r="O80" s="14"/>
      <c r="P80" s="1">
        <f>SUM(OSRRefP22_3x_0)</f>
        <v>263.39999999999998</v>
      </c>
      <c r="Q80" s="1"/>
      <c r="R80" s="5">
        <f t="shared" si="32"/>
        <v>1.1253893279894004E-4</v>
      </c>
      <c r="S80" s="1"/>
      <c r="T80" s="1">
        <f>SUM(OSRRefT22_3x_0)</f>
        <v>705</v>
      </c>
      <c r="U80" s="1"/>
      <c r="V80" s="5">
        <f t="shared" si="33"/>
        <v>1.7874759546452696E-4</v>
      </c>
      <c r="W80" s="1"/>
      <c r="X80" s="1">
        <f t="shared" si="34"/>
        <v>-441.6</v>
      </c>
      <c r="Y80" s="1"/>
      <c r="Z80" s="5">
        <f t="shared" si="35"/>
        <v>-0.62638297872340432</v>
      </c>
    </row>
    <row r="81" spans="1:26" s="24" customFormat="1" hidden="1" outlineLevel="2" x14ac:dyDescent="0.25">
      <c r="A81" s="29"/>
      <c r="B81" s="11" t="str">
        <f>CONCATENATE("          ", "6272", " - ", "CASH (OVER/SHORT)")</f>
        <v xml:space="preserve">          6272 - CASH (OVER/SHORT)</v>
      </c>
      <c r="C81" s="11"/>
      <c r="D81" s="7">
        <v>112.67</v>
      </c>
      <c r="E81" s="2"/>
      <c r="F81" s="6">
        <f t="shared" si="28"/>
        <v>1.8760650169838246E-4</v>
      </c>
      <c r="G81" s="2"/>
      <c r="H81" s="7">
        <v>235</v>
      </c>
      <c r="I81" s="2"/>
      <c r="J81" s="6">
        <f t="shared" si="29"/>
        <v>2.7321769055480629E-4</v>
      </c>
      <c r="K81" s="2"/>
      <c r="L81" s="7">
        <f t="shared" si="30"/>
        <v>-122.33</v>
      </c>
      <c r="M81" s="2"/>
      <c r="N81" s="6">
        <f t="shared" si="31"/>
        <v>-0.52055319148936174</v>
      </c>
      <c r="O81" s="11"/>
      <c r="P81" s="7">
        <v>263.39999999999998</v>
      </c>
      <c r="Q81" s="2"/>
      <c r="R81" s="6">
        <f t="shared" si="32"/>
        <v>1.1253893279894004E-4</v>
      </c>
      <c r="S81" s="2"/>
      <c r="T81" s="7">
        <v>705</v>
      </c>
      <c r="U81" s="2"/>
      <c r="V81" s="6">
        <f t="shared" si="33"/>
        <v>1.7874759546452696E-4</v>
      </c>
      <c r="W81" s="2"/>
      <c r="X81" s="7">
        <f t="shared" si="34"/>
        <v>-441.6</v>
      </c>
      <c r="Y81" s="2"/>
      <c r="Z81" s="6">
        <f t="shared" si="35"/>
        <v>-0.62638297872340432</v>
      </c>
    </row>
    <row r="82" spans="1:26" s="28" customFormat="1" outlineLevel="1" collapsed="1" x14ac:dyDescent="0.25">
      <c r="A82" s="27"/>
      <c r="B82" s="14" t="str">
        <f>CONCATENATE("     ","Bank/card Fees                                    ")</f>
        <v xml:space="preserve">     Bank/card Fees                                    </v>
      </c>
      <c r="C82" s="14"/>
      <c r="D82" s="1">
        <f>SUM(OSRRefD22_4x_0)</f>
        <v>11665.93</v>
      </c>
      <c r="E82" s="1"/>
      <c r="F82" s="5">
        <f t="shared" si="28"/>
        <v>1.9424907396451679E-2</v>
      </c>
      <c r="G82" s="1"/>
      <c r="H82" s="1">
        <f>SUM(OSRRefH22_4x_0)</f>
        <v>18503.5</v>
      </c>
      <c r="I82" s="1"/>
      <c r="J82" s="5">
        <f t="shared" si="29"/>
        <v>2.1512695902897269E-2</v>
      </c>
      <c r="K82" s="1"/>
      <c r="L82" s="1">
        <f t="shared" si="30"/>
        <v>-6837.57</v>
      </c>
      <c r="M82" s="1"/>
      <c r="N82" s="5">
        <f t="shared" si="31"/>
        <v>-0.36952846758721319</v>
      </c>
      <c r="O82" s="14"/>
      <c r="P82" s="1">
        <f>SUM(OSRRefP22_4x_0)</f>
        <v>39125.65</v>
      </c>
      <c r="Q82" s="1"/>
      <c r="R82" s="5">
        <f t="shared" si="32"/>
        <v>1.6716624510496769E-2</v>
      </c>
      <c r="S82" s="1"/>
      <c r="T82" s="1">
        <f>SUM(OSRRefT22_4x_0)</f>
        <v>78721.75</v>
      </c>
      <c r="U82" s="1"/>
      <c r="V82" s="5">
        <f t="shared" si="33"/>
        <v>1.9959324146467554E-2</v>
      </c>
      <c r="W82" s="1"/>
      <c r="X82" s="1">
        <f t="shared" si="34"/>
        <v>-39596.1</v>
      </c>
      <c r="Y82" s="1"/>
      <c r="Z82" s="5">
        <f t="shared" si="35"/>
        <v>-0.50298805603279906</v>
      </c>
    </row>
    <row r="83" spans="1:26" s="24" customFormat="1" hidden="1" outlineLevel="2" x14ac:dyDescent="0.25">
      <c r="A83" s="29"/>
      <c r="B83" s="11" t="str">
        <f>CONCATENATE("          ", "6381", " - ", "BANK/CREDIT CARD FEES")</f>
        <v xml:space="preserve">          6381 - BANK/CREDIT CARD FEES</v>
      </c>
      <c r="C83" s="11"/>
      <c r="D83" s="7">
        <v>11665.93</v>
      </c>
      <c r="E83" s="2"/>
      <c r="F83" s="6">
        <f t="shared" si="28"/>
        <v>1.9424907396451679E-2</v>
      </c>
      <c r="G83" s="2"/>
      <c r="H83" s="7">
        <v>18503.5</v>
      </c>
      <c r="I83" s="2"/>
      <c r="J83" s="6">
        <f t="shared" si="29"/>
        <v>2.1512695902897269E-2</v>
      </c>
      <c r="K83" s="2"/>
      <c r="L83" s="7">
        <f t="shared" si="30"/>
        <v>-6837.57</v>
      </c>
      <c r="M83" s="2"/>
      <c r="N83" s="6">
        <f t="shared" si="31"/>
        <v>-0.36952846758721319</v>
      </c>
      <c r="O83" s="11"/>
      <c r="P83" s="7">
        <v>39125.65</v>
      </c>
      <c r="Q83" s="2"/>
      <c r="R83" s="6">
        <f t="shared" si="32"/>
        <v>1.6716624510496769E-2</v>
      </c>
      <c r="S83" s="2"/>
      <c r="T83" s="7">
        <v>78721.75</v>
      </c>
      <c r="U83" s="2"/>
      <c r="V83" s="6">
        <f t="shared" si="33"/>
        <v>1.9959324146467554E-2</v>
      </c>
      <c r="W83" s="2"/>
      <c r="X83" s="7">
        <f t="shared" si="34"/>
        <v>-39596.1</v>
      </c>
      <c r="Y83" s="2"/>
      <c r="Z83" s="6">
        <f t="shared" si="35"/>
        <v>-0.50298805603279906</v>
      </c>
    </row>
    <row r="84" spans="1:26" s="28" customFormat="1" outlineLevel="1" collapsed="1" x14ac:dyDescent="0.25">
      <c r="A84" s="27"/>
      <c r="B84" s="14" t="str">
        <f>CONCATENATE("     ","Depreciation                                      ")</f>
        <v xml:space="preserve">     Depreciation                                      </v>
      </c>
      <c r="C84" s="14"/>
      <c r="D84" s="1">
        <f>SUM(OSRRefD22_5x_0)</f>
        <v>37856.21</v>
      </c>
      <c r="E84" s="1"/>
      <c r="F84" s="5">
        <f t="shared" si="28"/>
        <v>6.3034269332203088E-2</v>
      </c>
      <c r="G84" s="1"/>
      <c r="H84" s="1">
        <f>SUM(OSRRefH22_5x_0)</f>
        <v>37733</v>
      </c>
      <c r="I84" s="1"/>
      <c r="J84" s="5">
        <f t="shared" si="29"/>
        <v>4.3869460075338325E-2</v>
      </c>
      <c r="K84" s="1"/>
      <c r="L84" s="1">
        <f t="shared" si="30"/>
        <v>123.20999999999913</v>
      </c>
      <c r="M84" s="1"/>
      <c r="N84" s="5">
        <f t="shared" si="31"/>
        <v>3.265311531020569E-3</v>
      </c>
      <c r="O84" s="14"/>
      <c r="P84" s="1">
        <f>SUM(OSRRefP22_5x_0)</f>
        <v>113568.65</v>
      </c>
      <c r="Q84" s="1"/>
      <c r="R84" s="5">
        <f t="shared" si="32"/>
        <v>4.852275880947738E-2</v>
      </c>
      <c r="S84" s="1"/>
      <c r="T84" s="1">
        <f>SUM(OSRRefT22_5x_0)</f>
        <v>113201</v>
      </c>
      <c r="U84" s="1"/>
      <c r="V84" s="5">
        <f t="shared" si="33"/>
        <v>2.8701285892453784E-2</v>
      </c>
      <c r="W84" s="1"/>
      <c r="X84" s="1">
        <f t="shared" si="34"/>
        <v>367.64999999999418</v>
      </c>
      <c r="Y84" s="1"/>
      <c r="Z84" s="5">
        <f t="shared" si="35"/>
        <v>3.2477628289502227E-3</v>
      </c>
    </row>
    <row r="85" spans="1:26" s="24" customFormat="1" hidden="1" outlineLevel="2" x14ac:dyDescent="0.25">
      <c r="A85" s="29"/>
      <c r="B85" s="11" t="str">
        <f>CONCATENATE("          ", "6321", " - ", "BUILDING DEPRECIATION")</f>
        <v xml:space="preserve">          6321 - BUILDING DEPRECIATION</v>
      </c>
      <c r="C85" s="11"/>
      <c r="D85" s="7">
        <v>21477.03</v>
      </c>
      <c r="E85" s="2"/>
      <c r="F85" s="6">
        <f t="shared" si="28"/>
        <v>3.5761342550556588E-2</v>
      </c>
      <c r="G85" s="2"/>
      <c r="H85" s="7"/>
      <c r="I85" s="2"/>
      <c r="J85" s="6">
        <f t="shared" si="29"/>
        <v>0</v>
      </c>
      <c r="K85" s="2"/>
      <c r="L85" s="7">
        <f t="shared" si="30"/>
        <v>21477.03</v>
      </c>
      <c r="M85" s="2"/>
      <c r="N85" s="6">
        <f t="shared" si="31"/>
        <v>0</v>
      </c>
      <c r="O85" s="11"/>
      <c r="P85" s="7">
        <v>64431.09</v>
      </c>
      <c r="Q85" s="2"/>
      <c r="R85" s="6">
        <f t="shared" si="32"/>
        <v>2.7528496991922773E-2</v>
      </c>
      <c r="S85" s="2"/>
      <c r="T85" s="7"/>
      <c r="U85" s="2"/>
      <c r="V85" s="6">
        <f t="shared" si="33"/>
        <v>0</v>
      </c>
      <c r="W85" s="2"/>
      <c r="X85" s="7">
        <f t="shared" si="34"/>
        <v>64431.09</v>
      </c>
      <c r="Y85" s="2"/>
      <c r="Z85" s="6">
        <f t="shared" si="35"/>
        <v>0</v>
      </c>
    </row>
    <row r="86" spans="1:26" s="24" customFormat="1" hidden="1" outlineLevel="2" x14ac:dyDescent="0.25">
      <c r="A86" s="29"/>
      <c r="B86" s="11" t="str">
        <f>CONCATENATE("          ", "6322", " - ", "EQUIPMENT DEPRECIATION EXPENSE")</f>
        <v xml:space="preserve">          6322 - EQUIPMENT DEPRECIATION EXPENSE</v>
      </c>
      <c r="C86" s="11"/>
      <c r="D86" s="7">
        <v>16379.18</v>
      </c>
      <c r="E86" s="2"/>
      <c r="F86" s="6">
        <f t="shared" si="28"/>
        <v>2.7272926781646507E-2</v>
      </c>
      <c r="G86" s="2"/>
      <c r="H86" s="7">
        <v>37733</v>
      </c>
      <c r="I86" s="2"/>
      <c r="J86" s="6">
        <f t="shared" si="29"/>
        <v>4.3869460075338325E-2</v>
      </c>
      <c r="K86" s="2"/>
      <c r="L86" s="7">
        <f t="shared" si="30"/>
        <v>-21353.82</v>
      </c>
      <c r="M86" s="2"/>
      <c r="N86" s="6">
        <f t="shared" si="31"/>
        <v>-0.56591895688124449</v>
      </c>
      <c r="O86" s="11"/>
      <c r="P86" s="7">
        <v>49137.56</v>
      </c>
      <c r="Q86" s="2"/>
      <c r="R86" s="6">
        <f t="shared" si="32"/>
        <v>2.0994261817554611E-2</v>
      </c>
      <c r="S86" s="2"/>
      <c r="T86" s="7">
        <v>113201</v>
      </c>
      <c r="U86" s="2"/>
      <c r="V86" s="6">
        <f t="shared" si="33"/>
        <v>2.8701285892453784E-2</v>
      </c>
      <c r="W86" s="2"/>
      <c r="X86" s="7">
        <f t="shared" si="34"/>
        <v>-64063.44</v>
      </c>
      <c r="Y86" s="2"/>
      <c r="Z86" s="6">
        <f t="shared" si="35"/>
        <v>-0.56592644941299108</v>
      </c>
    </row>
    <row r="87" spans="1:26" s="28" customFormat="1" outlineLevel="1" collapsed="1" x14ac:dyDescent="0.25">
      <c r="A87" s="27"/>
      <c r="B87" s="14" t="str">
        <f>CONCATENATE("     ","Discounts and Markdowns                           ")</f>
        <v xml:space="preserve">     Discounts and Markdowns                           </v>
      </c>
      <c r="C87" s="14"/>
      <c r="D87" s="1">
        <f>SUM(OSRRefD22_6x_0)</f>
        <v>135.49</v>
      </c>
      <c r="E87" s="1"/>
      <c r="F87" s="5">
        <f t="shared" ref="F87:F89" si="36">IF(D$12=0,0,D87/D$12)</f>
        <v>2.2560401983770159E-4</v>
      </c>
      <c r="G87" s="1"/>
      <c r="H87" s="1">
        <f>SUM(OSRRefH22_6x_0)</f>
        <v>0</v>
      </c>
      <c r="I87" s="1"/>
      <c r="J87" s="5">
        <f t="shared" ref="J87:J89" si="37">IF(H$12=0,0,H87/H$12)</f>
        <v>0</v>
      </c>
      <c r="K87" s="1"/>
      <c r="L87" s="1">
        <f t="shared" ref="L87:L89" si="38">+D87-H87</f>
        <v>135.49</v>
      </c>
      <c r="M87" s="1"/>
      <c r="N87" s="5">
        <f t="shared" ref="N87:N89" si="39">IF(H87=0,0,L87/H87)</f>
        <v>0</v>
      </c>
      <c r="O87" s="14"/>
      <c r="P87" s="1">
        <f>SUM(OSRRefP22_6x_0)</f>
        <v>-22.49</v>
      </c>
      <c r="Q87" s="1"/>
      <c r="R87" s="5">
        <f t="shared" ref="R87:R89" si="40">IF(P$12=0,0,P87/P$12)</f>
        <v>-9.608962029795602E-6</v>
      </c>
      <c r="S87" s="1"/>
      <c r="T87" s="1">
        <f>SUM(OSRRefT22_6x_0)</f>
        <v>0</v>
      </c>
      <c r="U87" s="1"/>
      <c r="V87" s="5">
        <f t="shared" ref="V87:V89" si="41">IF(T$12=0,0,T87/T$12)</f>
        <v>0</v>
      </c>
      <c r="W87" s="1"/>
      <c r="X87" s="1">
        <f t="shared" ref="X87:X89" si="42">+P87-T87</f>
        <v>-22.49</v>
      </c>
      <c r="Y87" s="1"/>
      <c r="Z87" s="5">
        <f t="shared" ref="Z87:Z89" si="43">IF(T87=0,0,X87/T87)</f>
        <v>0</v>
      </c>
    </row>
    <row r="88" spans="1:26" s="24" customFormat="1" hidden="1" outlineLevel="2" x14ac:dyDescent="0.25">
      <c r="A88" s="29"/>
      <c r="B88" s="11" t="str">
        <f>CONCATENATE("          ", "6382", " - ", "DISCOUNTS/MARK DOWNS")</f>
        <v xml:space="preserve">          6382 - DISCOUNTS/MARK DOWNS</v>
      </c>
      <c r="C88" s="11"/>
      <c r="D88" s="7"/>
      <c r="E88" s="2"/>
      <c r="F88" s="6">
        <f t="shared" si="36"/>
        <v>0</v>
      </c>
      <c r="G88" s="2"/>
      <c r="H88" s="7"/>
      <c r="I88" s="2"/>
      <c r="J88" s="6">
        <f t="shared" si="37"/>
        <v>0</v>
      </c>
      <c r="K88" s="2"/>
      <c r="L88" s="7">
        <f t="shared" si="38"/>
        <v>0</v>
      </c>
      <c r="M88" s="2"/>
      <c r="N88" s="6">
        <f t="shared" si="39"/>
        <v>0</v>
      </c>
      <c r="O88" s="11"/>
      <c r="P88" s="7"/>
      <c r="Q88" s="2"/>
      <c r="R88" s="6">
        <f t="shared" si="40"/>
        <v>0</v>
      </c>
      <c r="S88" s="2"/>
      <c r="T88" s="7">
        <v>0</v>
      </c>
      <c r="U88" s="2"/>
      <c r="V88" s="6">
        <f t="shared" si="41"/>
        <v>0</v>
      </c>
      <c r="W88" s="2"/>
      <c r="X88" s="7">
        <f t="shared" si="42"/>
        <v>0</v>
      </c>
      <c r="Y88" s="2"/>
      <c r="Z88" s="6">
        <f t="shared" si="43"/>
        <v>0</v>
      </c>
    </row>
    <row r="89" spans="1:26" s="24" customFormat="1" hidden="1" outlineLevel="2" x14ac:dyDescent="0.25">
      <c r="A89" s="29"/>
      <c r="B89" s="11" t="str">
        <f>CONCATENATE("          ", "9175", " - ", "EARNED DISCOUNTS")</f>
        <v xml:space="preserve">          9175 - EARNED DISCOUNTS</v>
      </c>
      <c r="C89" s="11"/>
      <c r="D89" s="7">
        <v>135.49</v>
      </c>
      <c r="E89" s="2"/>
      <c r="F89" s="6">
        <f t="shared" si="36"/>
        <v>2.2560401983770159E-4</v>
      </c>
      <c r="G89" s="2"/>
      <c r="H89" s="7"/>
      <c r="I89" s="2"/>
      <c r="J89" s="6">
        <f t="shared" si="37"/>
        <v>0</v>
      </c>
      <c r="K89" s="2"/>
      <c r="L89" s="7">
        <f t="shared" si="38"/>
        <v>135.49</v>
      </c>
      <c r="M89" s="2"/>
      <c r="N89" s="6">
        <f t="shared" si="39"/>
        <v>0</v>
      </c>
      <c r="O89" s="11"/>
      <c r="P89" s="7">
        <v>-22.49</v>
      </c>
      <c r="Q89" s="2"/>
      <c r="R89" s="6">
        <f t="shared" si="40"/>
        <v>-9.608962029795602E-6</v>
      </c>
      <c r="S89" s="2"/>
      <c r="T89" s="7"/>
      <c r="U89" s="2"/>
      <c r="V89" s="6">
        <f t="shared" si="41"/>
        <v>0</v>
      </c>
      <c r="W89" s="2"/>
      <c r="X89" s="7">
        <f t="shared" si="42"/>
        <v>-22.49</v>
      </c>
      <c r="Y89" s="2"/>
      <c r="Z89" s="6">
        <f t="shared" si="43"/>
        <v>0</v>
      </c>
    </row>
    <row r="90" spans="1:26" s="28" customFormat="1" outlineLevel="1" collapsed="1" x14ac:dyDescent="0.25">
      <c r="A90" s="27"/>
      <c r="B90" s="14" t="str">
        <f>CONCATENATE("     ","Donations                                         ")</f>
        <v xml:space="preserve">     Donations                                         </v>
      </c>
      <c r="C90" s="14"/>
      <c r="D90" s="1">
        <f>SUM(OSRRefD22_7x_0)</f>
        <v>0</v>
      </c>
      <c r="E90" s="1"/>
      <c r="F90" s="5">
        <f t="shared" ref="F90:F98" si="44">IF(D$12=0,0,D90/D$12)</f>
        <v>0</v>
      </c>
      <c r="G90" s="1"/>
      <c r="H90" s="1">
        <f>SUM(OSRRefH22_7x_0)</f>
        <v>1250</v>
      </c>
      <c r="I90" s="1"/>
      <c r="J90" s="5">
        <f t="shared" ref="J90:J98" si="45">IF(H$12=0,0,H90/H$12)</f>
        <v>1.4532855880574804E-3</v>
      </c>
      <c r="K90" s="1"/>
      <c r="L90" s="1">
        <f t="shared" ref="L90:L98" si="46">+D90-H90</f>
        <v>-1250</v>
      </c>
      <c r="M90" s="1"/>
      <c r="N90" s="5">
        <f t="shared" ref="N90:N98" si="47">IF(H90=0,0,L90/H90)</f>
        <v>-1</v>
      </c>
      <c r="O90" s="14"/>
      <c r="P90" s="1">
        <f>SUM(OSRRefP22_7x_0)</f>
        <v>0</v>
      </c>
      <c r="Q90" s="1"/>
      <c r="R90" s="5">
        <f t="shared" ref="R90:R98" si="48">IF(P$12=0,0,P90/P$12)</f>
        <v>0</v>
      </c>
      <c r="S90" s="1"/>
      <c r="T90" s="1">
        <f>SUM(OSRRefT22_7x_0)</f>
        <v>3750</v>
      </c>
      <c r="U90" s="1"/>
      <c r="V90" s="5">
        <f t="shared" ref="V90:V98" si="49">IF(T$12=0,0,T90/T$12)</f>
        <v>9.5078508225812219E-4</v>
      </c>
      <c r="W90" s="1"/>
      <c r="X90" s="1">
        <f t="shared" ref="X90:X98" si="50">+P90-T90</f>
        <v>-3750</v>
      </c>
      <c r="Y90" s="1"/>
      <c r="Z90" s="5">
        <f t="shared" ref="Z90:Z98" si="51">IF(T90=0,0,X90/T90)</f>
        <v>-1</v>
      </c>
    </row>
    <row r="91" spans="1:26" s="24" customFormat="1" hidden="1" outlineLevel="2" x14ac:dyDescent="0.25">
      <c r="A91" s="29"/>
      <c r="B91" s="11" t="str">
        <f>CONCATENATE("          ", "6399", " - ", "DONATION-ON CAMPUS")</f>
        <v xml:space="preserve">          6399 - DONATION-ON CAMPUS</v>
      </c>
      <c r="C91" s="11"/>
      <c r="D91" s="7"/>
      <c r="E91" s="2"/>
      <c r="F91" s="6">
        <f t="shared" si="44"/>
        <v>0</v>
      </c>
      <c r="G91" s="2"/>
      <c r="H91" s="7">
        <v>1250</v>
      </c>
      <c r="I91" s="2"/>
      <c r="J91" s="6">
        <f t="shared" si="45"/>
        <v>1.4532855880574804E-3</v>
      </c>
      <c r="K91" s="2"/>
      <c r="L91" s="7">
        <f t="shared" si="46"/>
        <v>-1250</v>
      </c>
      <c r="M91" s="2"/>
      <c r="N91" s="6">
        <f t="shared" si="47"/>
        <v>-1</v>
      </c>
      <c r="O91" s="11"/>
      <c r="P91" s="7"/>
      <c r="Q91" s="2"/>
      <c r="R91" s="6">
        <f t="shared" si="48"/>
        <v>0</v>
      </c>
      <c r="S91" s="2"/>
      <c r="T91" s="7">
        <v>3750</v>
      </c>
      <c r="U91" s="2"/>
      <c r="V91" s="6">
        <f t="shared" si="49"/>
        <v>9.5078508225812219E-4</v>
      </c>
      <c r="W91" s="2"/>
      <c r="X91" s="7">
        <f t="shared" si="50"/>
        <v>-3750</v>
      </c>
      <c r="Y91" s="2"/>
      <c r="Z91" s="6">
        <f t="shared" si="51"/>
        <v>-1</v>
      </c>
    </row>
    <row r="92" spans="1:26" s="28" customFormat="1" outlineLevel="1" collapsed="1" x14ac:dyDescent="0.25">
      <c r="A92" s="27"/>
      <c r="B92" s="14" t="str">
        <f>CONCATENATE("     ","Employees' Appreciation                           ")</f>
        <v xml:space="preserve">     Employees' Appreciation                           </v>
      </c>
      <c r="C92" s="14"/>
      <c r="D92" s="1">
        <f>SUM(OSRRefD22_8x_0)</f>
        <v>447.27</v>
      </c>
      <c r="E92" s="1"/>
      <c r="F92" s="5">
        <f t="shared" si="44"/>
        <v>7.4474802533625202E-4</v>
      </c>
      <c r="G92" s="1"/>
      <c r="H92" s="1">
        <f>SUM(OSRRefH22_8x_0)</f>
        <v>225</v>
      </c>
      <c r="I92" s="1"/>
      <c r="J92" s="5">
        <f t="shared" si="45"/>
        <v>2.6159140585034648E-4</v>
      </c>
      <c r="K92" s="1"/>
      <c r="L92" s="1">
        <f t="shared" si="46"/>
        <v>222.26999999999998</v>
      </c>
      <c r="M92" s="1"/>
      <c r="N92" s="5">
        <f t="shared" si="47"/>
        <v>0.98786666666666656</v>
      </c>
      <c r="O92" s="14"/>
      <c r="P92" s="1">
        <f>SUM(OSRRefP22_8x_0)</f>
        <v>1384.63</v>
      </c>
      <c r="Q92" s="1"/>
      <c r="R92" s="5">
        <f t="shared" si="48"/>
        <v>5.9158991086331197E-4</v>
      </c>
      <c r="S92" s="1"/>
      <c r="T92" s="1">
        <f>SUM(OSRRefT22_8x_0)</f>
        <v>675</v>
      </c>
      <c r="U92" s="1"/>
      <c r="V92" s="5">
        <f t="shared" si="49"/>
        <v>1.7114131480646199E-4</v>
      </c>
      <c r="W92" s="1"/>
      <c r="X92" s="1">
        <f t="shared" si="50"/>
        <v>709.63000000000011</v>
      </c>
      <c r="Y92" s="1"/>
      <c r="Z92" s="5">
        <f t="shared" si="51"/>
        <v>1.0513037037037039</v>
      </c>
    </row>
    <row r="93" spans="1:26" s="24" customFormat="1" hidden="1" outlineLevel="2" x14ac:dyDescent="0.25">
      <c r="A93" s="29"/>
      <c r="B93" s="11" t="str">
        <f>CONCATENATE("          ", "6277", " - ", "EMPLOYEE APPRECIATION")</f>
        <v xml:space="preserve">          6277 - EMPLOYEE APPRECIATION</v>
      </c>
      <c r="C93" s="11"/>
      <c r="D93" s="7">
        <v>447.27</v>
      </c>
      <c r="E93" s="2"/>
      <c r="F93" s="6">
        <f t="shared" si="44"/>
        <v>7.4474802533625202E-4</v>
      </c>
      <c r="G93" s="2"/>
      <c r="H93" s="7">
        <v>225</v>
      </c>
      <c r="I93" s="2"/>
      <c r="J93" s="6">
        <f t="shared" si="45"/>
        <v>2.6159140585034648E-4</v>
      </c>
      <c r="K93" s="2"/>
      <c r="L93" s="7">
        <f t="shared" si="46"/>
        <v>222.26999999999998</v>
      </c>
      <c r="M93" s="2"/>
      <c r="N93" s="6">
        <f t="shared" si="47"/>
        <v>0.98786666666666656</v>
      </c>
      <c r="O93" s="11"/>
      <c r="P93" s="7">
        <v>1384.63</v>
      </c>
      <c r="Q93" s="2"/>
      <c r="R93" s="6">
        <f t="shared" si="48"/>
        <v>5.9158991086331197E-4</v>
      </c>
      <c r="S93" s="2"/>
      <c r="T93" s="7">
        <v>675</v>
      </c>
      <c r="U93" s="2"/>
      <c r="V93" s="6">
        <f t="shared" si="49"/>
        <v>1.7114131480646199E-4</v>
      </c>
      <c r="W93" s="2"/>
      <c r="X93" s="7">
        <f t="shared" si="50"/>
        <v>709.63000000000011</v>
      </c>
      <c r="Y93" s="2"/>
      <c r="Z93" s="6">
        <f t="shared" si="51"/>
        <v>1.0513037037037039</v>
      </c>
    </row>
    <row r="94" spans="1:26" s="28" customFormat="1" outlineLevel="1" collapsed="1" x14ac:dyDescent="0.25">
      <c r="A94" s="27"/>
      <c r="B94" s="14" t="str">
        <f>CONCATENATE("     ","Equipment Rental                                  ")</f>
        <v xml:space="preserve">     Equipment Rental                                  </v>
      </c>
      <c r="C94" s="14"/>
      <c r="D94" s="1">
        <f>SUM(OSRRefD22_9x_0)</f>
        <v>1388.16</v>
      </c>
      <c r="E94" s="1"/>
      <c r="F94" s="5">
        <f t="shared" si="44"/>
        <v>2.3114213313004933E-3</v>
      </c>
      <c r="G94" s="1"/>
      <c r="H94" s="1">
        <f>SUM(OSRRefH22_9x_0)</f>
        <v>1876</v>
      </c>
      <c r="I94" s="1"/>
      <c r="J94" s="5">
        <f t="shared" si="45"/>
        <v>2.1810910105566667E-3</v>
      </c>
      <c r="K94" s="1"/>
      <c r="L94" s="1">
        <f t="shared" si="46"/>
        <v>-487.83999999999992</v>
      </c>
      <c r="M94" s="1"/>
      <c r="N94" s="5">
        <f t="shared" si="47"/>
        <v>-0.26004264392324089</v>
      </c>
      <c r="O94" s="14"/>
      <c r="P94" s="1">
        <f>SUM(OSRRefP22_9x_0)</f>
        <v>5080.05</v>
      </c>
      <c r="Q94" s="1"/>
      <c r="R94" s="5">
        <f t="shared" si="48"/>
        <v>2.1704761031330882E-3</v>
      </c>
      <c r="S94" s="1"/>
      <c r="T94" s="1">
        <f>SUM(OSRRefT22_9x_0)</f>
        <v>5428</v>
      </c>
      <c r="U94" s="1"/>
      <c r="V94" s="5">
        <f t="shared" si="49"/>
        <v>1.3762297137325566E-3</v>
      </c>
      <c r="W94" s="1"/>
      <c r="X94" s="1">
        <f t="shared" si="50"/>
        <v>-347.94999999999982</v>
      </c>
      <c r="Y94" s="1"/>
      <c r="Z94" s="5">
        <f t="shared" si="51"/>
        <v>-6.4102800294767837E-2</v>
      </c>
    </row>
    <row r="95" spans="1:26" s="24" customFormat="1" hidden="1" outlineLevel="2" x14ac:dyDescent="0.25">
      <c r="A95" s="29"/>
      <c r="B95" s="11" t="str">
        <f>CONCATENATE("          ", "6351", " - ", "EQUIPMENT RENTAL")</f>
        <v xml:space="preserve">          6351 - EQUIPMENT RENTAL</v>
      </c>
      <c r="C95" s="11"/>
      <c r="D95" s="7">
        <v>1388.16</v>
      </c>
      <c r="E95" s="2"/>
      <c r="F95" s="6">
        <f t="shared" si="44"/>
        <v>2.3114213313004933E-3</v>
      </c>
      <c r="G95" s="2"/>
      <c r="H95" s="7">
        <v>1876</v>
      </c>
      <c r="I95" s="2"/>
      <c r="J95" s="6">
        <f t="shared" si="45"/>
        <v>2.1810910105566667E-3</v>
      </c>
      <c r="K95" s="2"/>
      <c r="L95" s="7">
        <f t="shared" si="46"/>
        <v>-487.83999999999992</v>
      </c>
      <c r="M95" s="2"/>
      <c r="N95" s="6">
        <f t="shared" si="47"/>
        <v>-0.26004264392324089</v>
      </c>
      <c r="O95" s="11"/>
      <c r="P95" s="7">
        <v>5080.05</v>
      </c>
      <c r="Q95" s="2"/>
      <c r="R95" s="6">
        <f t="shared" si="48"/>
        <v>2.1704761031330882E-3</v>
      </c>
      <c r="S95" s="2"/>
      <c r="T95" s="7">
        <v>5428</v>
      </c>
      <c r="U95" s="2"/>
      <c r="V95" s="6">
        <f t="shared" si="49"/>
        <v>1.3762297137325566E-3</v>
      </c>
      <c r="W95" s="2"/>
      <c r="X95" s="7">
        <f t="shared" si="50"/>
        <v>-347.94999999999982</v>
      </c>
      <c r="Y95" s="2"/>
      <c r="Z95" s="6">
        <f t="shared" si="51"/>
        <v>-6.4102800294767837E-2</v>
      </c>
    </row>
    <row r="96" spans="1:26" s="28" customFormat="1" outlineLevel="1" collapsed="1" x14ac:dyDescent="0.25">
      <c r="A96" s="27"/>
      <c r="B96" s="14" t="str">
        <f>CONCATENATE("     ","Freight out/Postage                               ")</f>
        <v xml:space="preserve">     Freight out/Postage                               </v>
      </c>
      <c r="C96" s="14"/>
      <c r="D96" s="1">
        <f>SUM(OSRRefD22_10x_0)</f>
        <v>3653.1299999999992</v>
      </c>
      <c r="E96" s="1"/>
      <c r="F96" s="5">
        <f t="shared" si="44"/>
        <v>6.082816539890048E-3</v>
      </c>
      <c r="G96" s="1"/>
      <c r="H96" s="1">
        <f>SUM(OSRRefH22_10x_0)</f>
        <v>-10150</v>
      </c>
      <c r="I96" s="1"/>
      <c r="J96" s="5">
        <f t="shared" si="45"/>
        <v>-1.180067897502674E-2</v>
      </c>
      <c r="K96" s="1"/>
      <c r="L96" s="1">
        <f t="shared" si="46"/>
        <v>13803.13</v>
      </c>
      <c r="M96" s="1"/>
      <c r="N96" s="5">
        <f t="shared" si="47"/>
        <v>-1.3599142857142856</v>
      </c>
      <c r="O96" s="14"/>
      <c r="P96" s="1">
        <f>SUM(OSRRefP22_10x_0)</f>
        <v>-12129.8</v>
      </c>
      <c r="Q96" s="1"/>
      <c r="R96" s="5">
        <f t="shared" si="48"/>
        <v>-5.1825161240113245E-3</v>
      </c>
      <c r="S96" s="1"/>
      <c r="T96" s="1">
        <f>SUM(OSRRefT22_10x_0)</f>
        <v>-47250</v>
      </c>
      <c r="U96" s="1"/>
      <c r="V96" s="5">
        <f t="shared" si="49"/>
        <v>-1.197989203645234E-2</v>
      </c>
      <c r="W96" s="1"/>
      <c r="X96" s="1">
        <f t="shared" si="50"/>
        <v>35120.199999999997</v>
      </c>
      <c r="Y96" s="1"/>
      <c r="Z96" s="5">
        <f t="shared" si="51"/>
        <v>-0.74328465608465599</v>
      </c>
    </row>
    <row r="97" spans="1:26" s="24" customFormat="1" hidden="1" outlineLevel="2" x14ac:dyDescent="0.25">
      <c r="A97" s="29"/>
      <c r="B97" s="11" t="str">
        <f>CONCATENATE("          ", "6305", " - ", "FREIGHT OUT")</f>
        <v xml:space="preserve">          6305 - FREIGHT OUT</v>
      </c>
      <c r="C97" s="11"/>
      <c r="D97" s="7">
        <v>13290.66</v>
      </c>
      <c r="E97" s="2"/>
      <c r="F97" s="6">
        <f t="shared" si="44"/>
        <v>2.2130240772722319E-2</v>
      </c>
      <c r="G97" s="2"/>
      <c r="H97" s="7">
        <v>1350</v>
      </c>
      <c r="I97" s="2"/>
      <c r="J97" s="6">
        <f t="shared" si="45"/>
        <v>1.5695484351020788E-3</v>
      </c>
      <c r="K97" s="2"/>
      <c r="L97" s="7">
        <f t="shared" si="46"/>
        <v>11940.66</v>
      </c>
      <c r="M97" s="2"/>
      <c r="N97" s="6">
        <f t="shared" si="47"/>
        <v>8.8449333333333335</v>
      </c>
      <c r="O97" s="11"/>
      <c r="P97" s="7">
        <v>28579.81</v>
      </c>
      <c r="Q97" s="2"/>
      <c r="R97" s="6">
        <f t="shared" si="48"/>
        <v>1.2210863010616838E-2</v>
      </c>
      <c r="S97" s="2"/>
      <c r="T97" s="7">
        <v>18050</v>
      </c>
      <c r="U97" s="2"/>
      <c r="V97" s="6">
        <f t="shared" si="49"/>
        <v>4.5764455292690949E-3</v>
      </c>
      <c r="W97" s="2"/>
      <c r="X97" s="7">
        <f t="shared" si="50"/>
        <v>10529.810000000001</v>
      </c>
      <c r="Y97" s="2"/>
      <c r="Z97" s="6">
        <f t="shared" si="51"/>
        <v>0.58336897506925212</v>
      </c>
    </row>
    <row r="98" spans="1:26" s="24" customFormat="1" hidden="1" outlineLevel="2" x14ac:dyDescent="0.25">
      <c r="A98" s="29"/>
      <c r="B98" s="11" t="str">
        <f>CONCATENATE("          ", "6307", " - ", "POSTAGE")</f>
        <v xml:space="preserve">          6307 - POSTAGE</v>
      </c>
      <c r="C98" s="11"/>
      <c r="D98" s="7">
        <v>-9637.5300000000007</v>
      </c>
      <c r="E98" s="2"/>
      <c r="F98" s="6">
        <f t="shared" si="44"/>
        <v>-1.6047424232832272E-2</v>
      </c>
      <c r="G98" s="2"/>
      <c r="H98" s="7">
        <v>-11500</v>
      </c>
      <c r="I98" s="2"/>
      <c r="J98" s="6">
        <f t="shared" si="45"/>
        <v>-1.337022741012882E-2</v>
      </c>
      <c r="K98" s="2"/>
      <c r="L98" s="7">
        <f t="shared" si="46"/>
        <v>1862.4699999999993</v>
      </c>
      <c r="M98" s="2"/>
      <c r="N98" s="6">
        <f t="shared" si="47"/>
        <v>-0.1619539130434782</v>
      </c>
      <c r="O98" s="11"/>
      <c r="P98" s="7">
        <v>-40709.61</v>
      </c>
      <c r="Q98" s="2"/>
      <c r="R98" s="6">
        <f t="shared" si="48"/>
        <v>-1.7393379134628163E-2</v>
      </c>
      <c r="S98" s="2"/>
      <c r="T98" s="7">
        <v>-65300</v>
      </c>
      <c r="U98" s="2"/>
      <c r="V98" s="6">
        <f t="shared" si="49"/>
        <v>-1.6556337565721436E-2</v>
      </c>
      <c r="W98" s="2"/>
      <c r="X98" s="7">
        <f t="shared" si="50"/>
        <v>24590.39</v>
      </c>
      <c r="Y98" s="2"/>
      <c r="Z98" s="6">
        <f t="shared" si="51"/>
        <v>-0.37657565084226646</v>
      </c>
    </row>
    <row r="99" spans="1:26" s="28" customFormat="1" outlineLevel="1" collapsed="1" x14ac:dyDescent="0.25">
      <c r="A99" s="27"/>
      <c r="B99" s="14" t="str">
        <f>CONCATENATE("     ","General                                           ")</f>
        <v xml:space="preserve">     General                                           </v>
      </c>
      <c r="C99" s="14"/>
      <c r="D99" s="1">
        <f>SUM(OSRRefD22_11x_0)</f>
        <v>91.31</v>
      </c>
      <c r="E99" s="1"/>
      <c r="F99" s="5">
        <f t="shared" ref="F99:F101" si="52">IF(D$12=0,0,D99/D$12)</f>
        <v>1.5204002547332298E-4</v>
      </c>
      <c r="G99" s="1"/>
      <c r="H99" s="1">
        <f>SUM(OSRRefH22_11x_0)</f>
        <v>500</v>
      </c>
      <c r="I99" s="1"/>
      <c r="J99" s="5">
        <f t="shared" ref="J99:J101" si="53">IF(H$12=0,0,H99/H$12)</f>
        <v>5.8131423522299211E-4</v>
      </c>
      <c r="K99" s="1"/>
      <c r="L99" s="1">
        <f t="shared" ref="L99:L101" si="54">+D99-H99</f>
        <v>-408.69</v>
      </c>
      <c r="M99" s="1"/>
      <c r="N99" s="5">
        <f t="shared" ref="N99:N101" si="55">IF(H99=0,0,L99/H99)</f>
        <v>-0.81738</v>
      </c>
      <c r="O99" s="14"/>
      <c r="P99" s="1">
        <f>SUM(OSRRefP22_11x_0)</f>
        <v>3478.6</v>
      </c>
      <c r="Q99" s="1"/>
      <c r="R99" s="5">
        <f t="shared" ref="R99:R101" si="56">IF(P$12=0,0,P99/P$12)</f>
        <v>1.4862487913226759E-3</v>
      </c>
      <c r="S99" s="1"/>
      <c r="T99" s="1">
        <f>SUM(OSRRefT22_11x_0)</f>
        <v>1150</v>
      </c>
      <c r="U99" s="1"/>
      <c r="V99" s="5">
        <f t="shared" ref="V99:V101" si="57">IF(T$12=0,0,T99/T$12)</f>
        <v>2.9157409189249081E-4</v>
      </c>
      <c r="W99" s="1"/>
      <c r="X99" s="1">
        <f t="shared" ref="X99:X101" si="58">+P99-T99</f>
        <v>2328.6</v>
      </c>
      <c r="Y99" s="1"/>
      <c r="Z99" s="5">
        <f t="shared" ref="Z99:Z101" si="59">IF(T99=0,0,X99/T99)</f>
        <v>2.0248695652173914</v>
      </c>
    </row>
    <row r="100" spans="1:26" s="24" customFormat="1" hidden="1" outlineLevel="2" x14ac:dyDescent="0.25">
      <c r="A100" s="29"/>
      <c r="B100" s="11" t="str">
        <f>CONCATENATE("          ", "6276", " - ", "PROPERTY TAX")</f>
        <v xml:space="preserve">          6276 - PROPERTY TAX</v>
      </c>
      <c r="C100" s="11"/>
      <c r="D100" s="7"/>
      <c r="E100" s="2"/>
      <c r="F100" s="6">
        <f t="shared" si="52"/>
        <v>0</v>
      </c>
      <c r="G100" s="2"/>
      <c r="H100" s="7"/>
      <c r="I100" s="2"/>
      <c r="J100" s="6">
        <f t="shared" si="53"/>
        <v>0</v>
      </c>
      <c r="K100" s="2"/>
      <c r="L100" s="7">
        <f t="shared" si="54"/>
        <v>0</v>
      </c>
      <c r="M100" s="2"/>
      <c r="N100" s="6">
        <f t="shared" si="55"/>
        <v>0</v>
      </c>
      <c r="O100" s="11"/>
      <c r="P100" s="7"/>
      <c r="Q100" s="2"/>
      <c r="R100" s="6">
        <f t="shared" si="56"/>
        <v>0</v>
      </c>
      <c r="S100" s="2"/>
      <c r="T100" s="7">
        <v>125</v>
      </c>
      <c r="U100" s="2"/>
      <c r="V100" s="6">
        <f t="shared" si="57"/>
        <v>3.1692836075270737E-5</v>
      </c>
      <c r="W100" s="2"/>
      <c r="X100" s="7">
        <f t="shared" si="58"/>
        <v>-125</v>
      </c>
      <c r="Y100" s="2"/>
      <c r="Z100" s="6">
        <f t="shared" si="59"/>
        <v>-1</v>
      </c>
    </row>
    <row r="101" spans="1:26" s="24" customFormat="1" hidden="1" outlineLevel="2" x14ac:dyDescent="0.25">
      <c r="A101" s="29"/>
      <c r="B101" s="11" t="str">
        <f>CONCATENATE("          ", "6279", " - ", "GENERAL EXPENSE")</f>
        <v xml:space="preserve">          6279 - GENERAL EXPENSE</v>
      </c>
      <c r="C101" s="11"/>
      <c r="D101" s="7">
        <v>91.31</v>
      </c>
      <c r="E101" s="2"/>
      <c r="F101" s="6">
        <f t="shared" si="52"/>
        <v>1.5204002547332298E-4</v>
      </c>
      <c r="G101" s="2"/>
      <c r="H101" s="7">
        <v>500</v>
      </c>
      <c r="I101" s="2"/>
      <c r="J101" s="6">
        <f t="shared" si="53"/>
        <v>5.8131423522299211E-4</v>
      </c>
      <c r="K101" s="2"/>
      <c r="L101" s="7">
        <f t="shared" si="54"/>
        <v>-408.69</v>
      </c>
      <c r="M101" s="2"/>
      <c r="N101" s="6">
        <f t="shared" si="55"/>
        <v>-0.81738</v>
      </c>
      <c r="O101" s="11"/>
      <c r="P101" s="7">
        <v>3478.6</v>
      </c>
      <c r="Q101" s="2"/>
      <c r="R101" s="6">
        <f t="shared" si="56"/>
        <v>1.4862487913226759E-3</v>
      </c>
      <c r="S101" s="2"/>
      <c r="T101" s="7">
        <v>1025</v>
      </c>
      <c r="U101" s="2"/>
      <c r="V101" s="6">
        <f t="shared" si="57"/>
        <v>2.5988125581722006E-4</v>
      </c>
      <c r="W101" s="2"/>
      <c r="X101" s="7">
        <f t="shared" si="58"/>
        <v>2453.6</v>
      </c>
      <c r="Y101" s="2"/>
      <c r="Z101" s="6">
        <f t="shared" si="59"/>
        <v>2.3937560975609755</v>
      </c>
    </row>
    <row r="102" spans="1:26" s="28" customFormat="1" outlineLevel="1" collapsed="1" x14ac:dyDescent="0.25">
      <c r="A102" s="27"/>
      <c r="B102" s="14" t="str">
        <f>CONCATENATE("     ","Insurance                                         ")</f>
        <v xml:space="preserve">     Insurance                                         </v>
      </c>
      <c r="C102" s="14"/>
      <c r="D102" s="1">
        <f>SUM(OSRRefD22_12x_0)</f>
        <v>5825.58</v>
      </c>
      <c r="E102" s="1"/>
      <c r="F102" s="5">
        <f t="shared" ref="F102:F116" si="60">IF(D$12=0,0,D102/D$12)</f>
        <v>9.700156955392409E-3</v>
      </c>
      <c r="G102" s="1"/>
      <c r="H102" s="1">
        <f>SUM(OSRRefH22_12x_0)</f>
        <v>5705</v>
      </c>
      <c r="I102" s="1"/>
      <c r="J102" s="5">
        <f t="shared" ref="J102:J116" si="61">IF(H$12=0,0,H102/H$12)</f>
        <v>6.6327954238943401E-3</v>
      </c>
      <c r="K102" s="1"/>
      <c r="L102" s="1">
        <f t="shared" ref="L102:L116" si="62">+D102-H102</f>
        <v>120.57999999999993</v>
      </c>
      <c r="M102" s="1"/>
      <c r="N102" s="5">
        <f t="shared" ref="N102:N116" si="63">IF(H102=0,0,L102/H102)</f>
        <v>2.1135845749342668E-2</v>
      </c>
      <c r="O102" s="14"/>
      <c r="P102" s="1">
        <f>SUM(OSRRefP22_12x_0)</f>
        <v>17476.740000000002</v>
      </c>
      <c r="Q102" s="1"/>
      <c r="R102" s="5">
        <f t="shared" ref="R102:R116" si="64">IF(P$12=0,0,P102/P$12)</f>
        <v>7.4670222794401961E-3</v>
      </c>
      <c r="S102" s="1"/>
      <c r="T102" s="1">
        <f>SUM(OSRRefT22_12x_0)</f>
        <v>17115</v>
      </c>
      <c r="U102" s="1"/>
      <c r="V102" s="5">
        <f t="shared" ref="V102:V116" si="65">IF(T$12=0,0,T102/T$12)</f>
        <v>4.3393831154260694E-3</v>
      </c>
      <c r="W102" s="1"/>
      <c r="X102" s="1">
        <f t="shared" ref="X102:X116" si="66">+P102-T102</f>
        <v>361.7400000000016</v>
      </c>
      <c r="Y102" s="1"/>
      <c r="Z102" s="5">
        <f t="shared" ref="Z102:Z116" si="67">IF(T102=0,0,X102/T102)</f>
        <v>2.1135845749342776E-2</v>
      </c>
    </row>
    <row r="103" spans="1:26" s="24" customFormat="1" hidden="1" outlineLevel="2" x14ac:dyDescent="0.25">
      <c r="A103" s="29"/>
      <c r="B103" s="11" t="str">
        <f>CONCATENATE("          ", "6314", " - ", "LIABILITY INSURANCE")</f>
        <v xml:space="preserve">          6314 - LIABILITY INSURANCE</v>
      </c>
      <c r="C103" s="11"/>
      <c r="D103" s="7">
        <v>5825.58</v>
      </c>
      <c r="E103" s="2"/>
      <c r="F103" s="6">
        <f t="shared" si="60"/>
        <v>9.700156955392409E-3</v>
      </c>
      <c r="G103" s="2"/>
      <c r="H103" s="7">
        <v>5705</v>
      </c>
      <c r="I103" s="2"/>
      <c r="J103" s="6">
        <f t="shared" si="61"/>
        <v>6.6327954238943401E-3</v>
      </c>
      <c r="K103" s="2"/>
      <c r="L103" s="7">
        <f t="shared" si="62"/>
        <v>120.57999999999993</v>
      </c>
      <c r="M103" s="2"/>
      <c r="N103" s="6">
        <f t="shared" si="63"/>
        <v>2.1135845749342668E-2</v>
      </c>
      <c r="O103" s="11"/>
      <c r="P103" s="7">
        <v>17476.740000000002</v>
      </c>
      <c r="Q103" s="2"/>
      <c r="R103" s="6">
        <f t="shared" si="64"/>
        <v>7.4670222794401961E-3</v>
      </c>
      <c r="S103" s="2"/>
      <c r="T103" s="7">
        <v>17115</v>
      </c>
      <c r="U103" s="2"/>
      <c r="V103" s="6">
        <f t="shared" si="65"/>
        <v>4.3393831154260694E-3</v>
      </c>
      <c r="W103" s="2"/>
      <c r="X103" s="7">
        <f t="shared" si="66"/>
        <v>361.7400000000016</v>
      </c>
      <c r="Y103" s="2"/>
      <c r="Z103" s="6">
        <f t="shared" si="67"/>
        <v>2.1135845749342776E-2</v>
      </c>
    </row>
    <row r="104" spans="1:26" s="28" customFormat="1" outlineLevel="1" collapsed="1" x14ac:dyDescent="0.25">
      <c r="A104" s="27"/>
      <c r="B104" s="14" t="str">
        <f>CONCATENATE("     ","Interest                                          ")</f>
        <v xml:space="preserve">     Interest                                          </v>
      </c>
      <c r="C104" s="14"/>
      <c r="D104" s="1">
        <f>SUM(OSRRefD22_13x_0)</f>
        <v>3905</v>
      </c>
      <c r="E104" s="1"/>
      <c r="F104" s="5">
        <f t="shared" si="60"/>
        <v>6.5022045720438751E-3</v>
      </c>
      <c r="G104" s="1"/>
      <c r="H104" s="1">
        <f>SUM(OSRRefH22_13x_0)</f>
        <v>3905</v>
      </c>
      <c r="I104" s="1"/>
      <c r="J104" s="5">
        <f t="shared" si="61"/>
        <v>4.5400641770915687E-3</v>
      </c>
      <c r="K104" s="1"/>
      <c r="L104" s="1">
        <f t="shared" si="62"/>
        <v>0</v>
      </c>
      <c r="M104" s="1"/>
      <c r="N104" s="5">
        <f t="shared" si="63"/>
        <v>0</v>
      </c>
      <c r="O104" s="14"/>
      <c r="P104" s="1">
        <f>SUM(OSRRefP22_13x_0)</f>
        <v>11715</v>
      </c>
      <c r="Q104" s="1"/>
      <c r="R104" s="5">
        <f t="shared" si="64"/>
        <v>5.0052908038708526E-3</v>
      </c>
      <c r="S104" s="1"/>
      <c r="T104" s="1">
        <f>SUM(OSRRefT22_13x_0)</f>
        <v>11715</v>
      </c>
      <c r="U104" s="1"/>
      <c r="V104" s="5">
        <f t="shared" si="65"/>
        <v>2.9702525969743736E-3</v>
      </c>
      <c r="W104" s="1"/>
      <c r="X104" s="1">
        <f t="shared" si="66"/>
        <v>0</v>
      </c>
      <c r="Y104" s="1"/>
      <c r="Z104" s="5">
        <f t="shared" si="67"/>
        <v>0</v>
      </c>
    </row>
    <row r="105" spans="1:26" s="24" customFormat="1" hidden="1" outlineLevel="2" x14ac:dyDescent="0.25">
      <c r="A105" s="29"/>
      <c r="B105" s="11" t="str">
        <f>CONCATENATE("          ", "6401", " - ", "INTEREST EXPENSE")</f>
        <v xml:space="preserve">          6401 - INTEREST EXPENSE</v>
      </c>
      <c r="C105" s="11"/>
      <c r="D105" s="7">
        <v>3905</v>
      </c>
      <c r="E105" s="2"/>
      <c r="F105" s="6">
        <f t="shared" si="60"/>
        <v>6.5022045720438751E-3</v>
      </c>
      <c r="G105" s="2"/>
      <c r="H105" s="7">
        <v>3905</v>
      </c>
      <c r="I105" s="2"/>
      <c r="J105" s="6">
        <f t="shared" si="61"/>
        <v>4.5400641770915687E-3</v>
      </c>
      <c r="K105" s="2"/>
      <c r="L105" s="7">
        <f t="shared" si="62"/>
        <v>0</v>
      </c>
      <c r="M105" s="2"/>
      <c r="N105" s="6">
        <f t="shared" si="63"/>
        <v>0</v>
      </c>
      <c r="O105" s="11"/>
      <c r="P105" s="7">
        <v>11715</v>
      </c>
      <c r="Q105" s="2"/>
      <c r="R105" s="6">
        <f t="shared" si="64"/>
        <v>5.0052908038708526E-3</v>
      </c>
      <c r="S105" s="2"/>
      <c r="T105" s="7">
        <v>11715</v>
      </c>
      <c r="U105" s="2"/>
      <c r="V105" s="6">
        <f t="shared" si="65"/>
        <v>2.9702525969743736E-3</v>
      </c>
      <c r="W105" s="2"/>
      <c r="X105" s="7">
        <f t="shared" si="66"/>
        <v>0</v>
      </c>
      <c r="Y105" s="2"/>
      <c r="Z105" s="6">
        <f t="shared" si="67"/>
        <v>0</v>
      </c>
    </row>
    <row r="106" spans="1:26" s="28" customFormat="1" outlineLevel="1" collapsed="1" x14ac:dyDescent="0.25">
      <c r="A106" s="27"/>
      <c r="B106" s="14" t="str">
        <f>CONCATENATE("     ","Inventory Adjustment                              ")</f>
        <v xml:space="preserve">     Inventory Adjustment                              </v>
      </c>
      <c r="C106" s="14"/>
      <c r="D106" s="1">
        <f>SUM(OSRRefD22_14x_0)</f>
        <v>5100</v>
      </c>
      <c r="E106" s="1"/>
      <c r="F106" s="5">
        <f t="shared" si="60"/>
        <v>8.4919957278934092E-3</v>
      </c>
      <c r="G106" s="1"/>
      <c r="H106" s="1">
        <f>SUM(OSRRefH22_14x_0)</f>
        <v>5100</v>
      </c>
      <c r="I106" s="1"/>
      <c r="J106" s="5">
        <f t="shared" si="61"/>
        <v>5.9294051992745201E-3</v>
      </c>
      <c r="K106" s="1"/>
      <c r="L106" s="1">
        <f t="shared" si="62"/>
        <v>0</v>
      </c>
      <c r="M106" s="1"/>
      <c r="N106" s="5">
        <f t="shared" si="63"/>
        <v>0</v>
      </c>
      <c r="O106" s="14"/>
      <c r="P106" s="1">
        <f>SUM(OSRRefP22_14x_0)</f>
        <v>15300</v>
      </c>
      <c r="Q106" s="1"/>
      <c r="R106" s="5">
        <f t="shared" si="64"/>
        <v>6.5369995133780666E-3</v>
      </c>
      <c r="S106" s="1"/>
      <c r="T106" s="1">
        <f>SUM(OSRRefT22_14x_0)</f>
        <v>15300</v>
      </c>
      <c r="U106" s="1"/>
      <c r="V106" s="5">
        <f t="shared" si="65"/>
        <v>3.8792031356131387E-3</v>
      </c>
      <c r="W106" s="1"/>
      <c r="X106" s="1">
        <f t="shared" si="66"/>
        <v>0</v>
      </c>
      <c r="Y106" s="1"/>
      <c r="Z106" s="5">
        <f t="shared" si="67"/>
        <v>0</v>
      </c>
    </row>
    <row r="107" spans="1:26" s="24" customFormat="1" hidden="1" outlineLevel="2" x14ac:dyDescent="0.25">
      <c r="A107" s="29"/>
      <c r="B107" s="11" t="str">
        <f>CONCATENATE("          ", "6408", " - ", "INVENTORY ADJUSTMENT")</f>
        <v xml:space="preserve">          6408 - INVENTORY ADJUSTMENT</v>
      </c>
      <c r="C107" s="11"/>
      <c r="D107" s="7">
        <v>5100</v>
      </c>
      <c r="E107" s="2"/>
      <c r="F107" s="6">
        <f t="shared" si="60"/>
        <v>8.4919957278934092E-3</v>
      </c>
      <c r="G107" s="2"/>
      <c r="H107" s="7">
        <v>5100</v>
      </c>
      <c r="I107" s="2"/>
      <c r="J107" s="6">
        <f t="shared" si="61"/>
        <v>5.9294051992745201E-3</v>
      </c>
      <c r="K107" s="2"/>
      <c r="L107" s="7">
        <f t="shared" si="62"/>
        <v>0</v>
      </c>
      <c r="M107" s="2"/>
      <c r="N107" s="6">
        <f t="shared" si="63"/>
        <v>0</v>
      </c>
      <c r="O107" s="11"/>
      <c r="P107" s="7">
        <v>15300</v>
      </c>
      <c r="Q107" s="2"/>
      <c r="R107" s="6">
        <f t="shared" si="64"/>
        <v>6.5369995133780666E-3</v>
      </c>
      <c r="S107" s="2"/>
      <c r="T107" s="7">
        <v>15300</v>
      </c>
      <c r="U107" s="2"/>
      <c r="V107" s="6">
        <f t="shared" si="65"/>
        <v>3.8792031356131387E-3</v>
      </c>
      <c r="W107" s="2"/>
      <c r="X107" s="7">
        <f t="shared" si="66"/>
        <v>0</v>
      </c>
      <c r="Y107" s="2"/>
      <c r="Z107" s="6">
        <f t="shared" si="67"/>
        <v>0</v>
      </c>
    </row>
    <row r="108" spans="1:26" s="28" customFormat="1" outlineLevel="1" collapsed="1" x14ac:dyDescent="0.25">
      <c r="A108" s="27"/>
      <c r="B108" s="14" t="str">
        <f>CONCATENATE("     ","Professional Services                             ")</f>
        <v xml:space="preserve">     Professional Services                             </v>
      </c>
      <c r="C108" s="14"/>
      <c r="D108" s="1">
        <f>SUM(OSRRefD22_15x_0)</f>
        <v>0</v>
      </c>
      <c r="E108" s="1"/>
      <c r="F108" s="5">
        <f t="shared" si="60"/>
        <v>0</v>
      </c>
      <c r="G108" s="1"/>
      <c r="H108" s="1">
        <f>SUM(OSRRefH22_15x_0)</f>
        <v>0</v>
      </c>
      <c r="I108" s="1"/>
      <c r="J108" s="5">
        <f t="shared" si="61"/>
        <v>0</v>
      </c>
      <c r="K108" s="1"/>
      <c r="L108" s="1">
        <f t="shared" si="62"/>
        <v>0</v>
      </c>
      <c r="M108" s="1"/>
      <c r="N108" s="5">
        <f t="shared" si="63"/>
        <v>0</v>
      </c>
      <c r="O108" s="14"/>
      <c r="P108" s="1">
        <f>SUM(OSRRefP22_15x_0)</f>
        <v>0</v>
      </c>
      <c r="Q108" s="1"/>
      <c r="R108" s="5">
        <f t="shared" si="64"/>
        <v>0</v>
      </c>
      <c r="S108" s="1"/>
      <c r="T108" s="1">
        <f>SUM(OSRRefT22_15x_0)</f>
        <v>1000</v>
      </c>
      <c r="U108" s="1"/>
      <c r="V108" s="5">
        <f t="shared" si="65"/>
        <v>2.5354268860216589E-4</v>
      </c>
      <c r="W108" s="1"/>
      <c r="X108" s="1">
        <f t="shared" si="66"/>
        <v>-1000</v>
      </c>
      <c r="Y108" s="1"/>
      <c r="Z108" s="5">
        <f t="shared" si="67"/>
        <v>-1</v>
      </c>
    </row>
    <row r="109" spans="1:26" s="24" customFormat="1" hidden="1" outlineLevel="2" x14ac:dyDescent="0.25">
      <c r="A109" s="29"/>
      <c r="B109" s="11" t="str">
        <f>CONCATENATE("          ", "6336", " - ", "PROFESSIONAL SERVICES")</f>
        <v xml:space="preserve">          6336 - PROFESSIONAL SERVICES</v>
      </c>
      <c r="C109" s="11"/>
      <c r="D109" s="7"/>
      <c r="E109" s="2"/>
      <c r="F109" s="6">
        <f t="shared" si="60"/>
        <v>0</v>
      </c>
      <c r="G109" s="2"/>
      <c r="H109" s="7">
        <v>0</v>
      </c>
      <c r="I109" s="2"/>
      <c r="J109" s="6">
        <f t="shared" si="61"/>
        <v>0</v>
      </c>
      <c r="K109" s="2"/>
      <c r="L109" s="7">
        <f t="shared" si="62"/>
        <v>0</v>
      </c>
      <c r="M109" s="2"/>
      <c r="N109" s="6">
        <f t="shared" si="63"/>
        <v>0</v>
      </c>
      <c r="O109" s="11"/>
      <c r="P109" s="7"/>
      <c r="Q109" s="2"/>
      <c r="R109" s="6">
        <f t="shared" si="64"/>
        <v>0</v>
      </c>
      <c r="S109" s="2"/>
      <c r="T109" s="7">
        <v>1000</v>
      </c>
      <c r="U109" s="2"/>
      <c r="V109" s="6">
        <f t="shared" si="65"/>
        <v>2.5354268860216589E-4</v>
      </c>
      <c r="W109" s="2"/>
      <c r="X109" s="7">
        <f t="shared" si="66"/>
        <v>-1000</v>
      </c>
      <c r="Y109" s="2"/>
      <c r="Z109" s="6">
        <f t="shared" si="67"/>
        <v>-1</v>
      </c>
    </row>
    <row r="110" spans="1:26" s="28" customFormat="1" outlineLevel="1" collapsed="1" x14ac:dyDescent="0.25">
      <c r="A110" s="27"/>
      <c r="B110" s="14" t="str">
        <f>CONCATENATE("     ","Rent                                              ")</f>
        <v xml:space="preserve">     Rent                                              </v>
      </c>
      <c r="C110" s="14"/>
      <c r="D110" s="1">
        <f>SUM(OSRRefD22_16x_0)</f>
        <v>6100</v>
      </c>
      <c r="E110" s="1"/>
      <c r="F110" s="5">
        <f t="shared" si="60"/>
        <v>1.0157092929441136E-2</v>
      </c>
      <c r="G110" s="1"/>
      <c r="H110" s="1">
        <f>SUM(OSRRefH22_16x_0)</f>
        <v>6100</v>
      </c>
      <c r="I110" s="1"/>
      <c r="J110" s="5">
        <f t="shared" si="61"/>
        <v>7.0920336697205041E-3</v>
      </c>
      <c r="K110" s="1"/>
      <c r="L110" s="1">
        <f t="shared" si="62"/>
        <v>0</v>
      </c>
      <c r="M110" s="1"/>
      <c r="N110" s="5">
        <f t="shared" si="63"/>
        <v>0</v>
      </c>
      <c r="O110" s="14"/>
      <c r="P110" s="1">
        <f>SUM(OSRRefP22_16x_0)</f>
        <v>18300</v>
      </c>
      <c r="Q110" s="1"/>
      <c r="R110" s="5">
        <f t="shared" si="64"/>
        <v>7.8187641238443538E-3</v>
      </c>
      <c r="S110" s="1"/>
      <c r="T110" s="1">
        <f>SUM(OSRRefT22_16x_0)</f>
        <v>18300</v>
      </c>
      <c r="U110" s="1"/>
      <c r="V110" s="5">
        <f t="shared" si="65"/>
        <v>4.6398312014196358E-3</v>
      </c>
      <c r="W110" s="1"/>
      <c r="X110" s="1">
        <f t="shared" si="66"/>
        <v>0</v>
      </c>
      <c r="Y110" s="1"/>
      <c r="Z110" s="5">
        <f t="shared" si="67"/>
        <v>0</v>
      </c>
    </row>
    <row r="111" spans="1:26" s="24" customFormat="1" hidden="1" outlineLevel="2" x14ac:dyDescent="0.25">
      <c r="A111" s="29"/>
      <c r="B111" s="11" t="str">
        <f>CONCATENATE("          ", "6273", " - ", "RENT")</f>
        <v xml:space="preserve">          6273 - RENT</v>
      </c>
      <c r="C111" s="11"/>
      <c r="D111" s="7">
        <v>6100</v>
      </c>
      <c r="E111" s="2"/>
      <c r="F111" s="6">
        <f t="shared" si="60"/>
        <v>1.0157092929441136E-2</v>
      </c>
      <c r="G111" s="2"/>
      <c r="H111" s="7">
        <v>6100</v>
      </c>
      <c r="I111" s="2"/>
      <c r="J111" s="6">
        <f t="shared" si="61"/>
        <v>7.0920336697205041E-3</v>
      </c>
      <c r="K111" s="2"/>
      <c r="L111" s="7">
        <f t="shared" si="62"/>
        <v>0</v>
      </c>
      <c r="M111" s="2"/>
      <c r="N111" s="6">
        <f t="shared" si="63"/>
        <v>0</v>
      </c>
      <c r="O111" s="11"/>
      <c r="P111" s="7">
        <v>18300</v>
      </c>
      <c r="Q111" s="2"/>
      <c r="R111" s="6">
        <f t="shared" si="64"/>
        <v>7.8187641238443538E-3</v>
      </c>
      <c r="S111" s="2"/>
      <c r="T111" s="7">
        <v>18300</v>
      </c>
      <c r="U111" s="2"/>
      <c r="V111" s="6">
        <f t="shared" si="65"/>
        <v>4.6398312014196358E-3</v>
      </c>
      <c r="W111" s="2"/>
      <c r="X111" s="7">
        <f t="shared" si="66"/>
        <v>0</v>
      </c>
      <c r="Y111" s="2"/>
      <c r="Z111" s="6">
        <f t="shared" si="67"/>
        <v>0</v>
      </c>
    </row>
    <row r="112" spans="1:26" s="28" customFormat="1" outlineLevel="1" collapsed="1" x14ac:dyDescent="0.25">
      <c r="A112" s="27"/>
      <c r="B112" s="14" t="str">
        <f>CONCATENATE("     ","Repair and Maintenance                            ")</f>
        <v xml:space="preserve">     Repair and Maintenance                            </v>
      </c>
      <c r="C112" s="14"/>
      <c r="D112" s="1">
        <f>SUM(OSRRefD22_17x_0)</f>
        <v>4464.9399999999996</v>
      </c>
      <c r="E112" s="1"/>
      <c r="F112" s="5">
        <f t="shared" si="60"/>
        <v>7.4345590990785096E-3</v>
      </c>
      <c r="G112" s="1"/>
      <c r="H112" s="1">
        <f>SUM(OSRRefH22_17x_0)</f>
        <v>16353</v>
      </c>
      <c r="I112" s="1"/>
      <c r="J112" s="5">
        <f t="shared" si="61"/>
        <v>1.9012463377203182E-2</v>
      </c>
      <c r="K112" s="1"/>
      <c r="L112" s="1">
        <f t="shared" si="62"/>
        <v>-11888.060000000001</v>
      </c>
      <c r="M112" s="1"/>
      <c r="N112" s="5">
        <f t="shared" si="63"/>
        <v>-0.7269650828594143</v>
      </c>
      <c r="O112" s="14"/>
      <c r="P112" s="1">
        <f>SUM(OSRRefP22_17x_0)</f>
        <v>79214.990000000005</v>
      </c>
      <c r="Q112" s="1"/>
      <c r="R112" s="5">
        <f t="shared" si="64"/>
        <v>3.3844990266813625E-2</v>
      </c>
      <c r="S112" s="1"/>
      <c r="T112" s="1">
        <f>SUM(OSRRefT22_17x_0)</f>
        <v>74501</v>
      </c>
      <c r="U112" s="1"/>
      <c r="V112" s="5">
        <f t="shared" si="65"/>
        <v>1.8889183843549963E-2</v>
      </c>
      <c r="W112" s="1"/>
      <c r="X112" s="1">
        <f t="shared" si="66"/>
        <v>4713.9900000000052</v>
      </c>
      <c r="Y112" s="1"/>
      <c r="Z112" s="5">
        <f t="shared" si="67"/>
        <v>6.3274184239137804E-2</v>
      </c>
    </row>
    <row r="113" spans="1:26" s="24" customFormat="1" hidden="1" outlineLevel="2" x14ac:dyDescent="0.25">
      <c r="A113" s="29"/>
      <c r="B113" s="11" t="str">
        <f>CONCATENATE("          ", "6371", " - ", "COMPUTER SOFTWARE MAINTENANCE")</f>
        <v xml:space="preserve">          6371 - COMPUTER SOFTWARE MAINTENANCE</v>
      </c>
      <c r="C113" s="11"/>
      <c r="D113" s="7"/>
      <c r="E113" s="2"/>
      <c r="F113" s="6">
        <f t="shared" si="60"/>
        <v>0</v>
      </c>
      <c r="G113" s="2"/>
      <c r="H113" s="7">
        <v>3623</v>
      </c>
      <c r="I113" s="2"/>
      <c r="J113" s="6">
        <f t="shared" si="61"/>
        <v>4.2122029484258014E-3</v>
      </c>
      <c r="K113" s="2"/>
      <c r="L113" s="7">
        <f t="shared" si="62"/>
        <v>-3623</v>
      </c>
      <c r="M113" s="2"/>
      <c r="N113" s="6">
        <f t="shared" si="63"/>
        <v>-1</v>
      </c>
      <c r="O113" s="11"/>
      <c r="P113" s="7">
        <v>59623.5</v>
      </c>
      <c r="Q113" s="2"/>
      <c r="R113" s="6">
        <f t="shared" si="64"/>
        <v>2.5474430750712231E-2</v>
      </c>
      <c r="S113" s="2"/>
      <c r="T113" s="7">
        <v>44623</v>
      </c>
      <c r="U113" s="2"/>
      <c r="V113" s="6">
        <f t="shared" si="65"/>
        <v>1.131383539349445E-2</v>
      </c>
      <c r="W113" s="2"/>
      <c r="X113" s="7">
        <f t="shared" si="66"/>
        <v>15000.5</v>
      </c>
      <c r="Y113" s="2"/>
      <c r="Z113" s="6">
        <f t="shared" si="67"/>
        <v>0.33616072429016425</v>
      </c>
    </row>
    <row r="114" spans="1:26" s="24" customFormat="1" hidden="1" outlineLevel="2" x14ac:dyDescent="0.25">
      <c r="A114" s="29"/>
      <c r="B114" s="11" t="str">
        <f>CONCATENATE("          ", "6372", " - ", "COMPUTER HARDWARE MAINTENANCE")</f>
        <v xml:space="preserve">          6372 - COMPUTER HARDWARE MAINTENANCE</v>
      </c>
      <c r="C114" s="11"/>
      <c r="D114" s="7"/>
      <c r="E114" s="2"/>
      <c r="F114" s="6">
        <f t="shared" si="60"/>
        <v>0</v>
      </c>
      <c r="G114" s="2"/>
      <c r="H114" s="7">
        <v>3750</v>
      </c>
      <c r="I114" s="2"/>
      <c r="J114" s="6">
        <f t="shared" si="61"/>
        <v>4.3598567641724411E-3</v>
      </c>
      <c r="K114" s="2"/>
      <c r="L114" s="7">
        <f t="shared" si="62"/>
        <v>-3750</v>
      </c>
      <c r="M114" s="2"/>
      <c r="N114" s="6">
        <f t="shared" si="63"/>
        <v>-1</v>
      </c>
      <c r="O114" s="11"/>
      <c r="P114" s="7"/>
      <c r="Q114" s="2"/>
      <c r="R114" s="6">
        <f t="shared" si="64"/>
        <v>0</v>
      </c>
      <c r="S114" s="2"/>
      <c r="T114" s="7">
        <v>7870</v>
      </c>
      <c r="U114" s="2"/>
      <c r="V114" s="6">
        <f t="shared" si="65"/>
        <v>1.9953809592990457E-3</v>
      </c>
      <c r="W114" s="2"/>
      <c r="X114" s="7">
        <f t="shared" si="66"/>
        <v>-7870</v>
      </c>
      <c r="Y114" s="2"/>
      <c r="Z114" s="6">
        <f t="shared" si="67"/>
        <v>-1</v>
      </c>
    </row>
    <row r="115" spans="1:26" s="24" customFormat="1" hidden="1" outlineLevel="2" x14ac:dyDescent="0.25">
      <c r="A115" s="29"/>
      <c r="B115" s="11" t="str">
        <f>CONCATENATE("          ", "6373", " - ", "MAINTENANCE CONTRACTS")</f>
        <v xml:space="preserve">          6373 - MAINTENANCE CONTRACTS</v>
      </c>
      <c r="C115" s="11"/>
      <c r="D115" s="7">
        <v>1642.34</v>
      </c>
      <c r="E115" s="2"/>
      <c r="F115" s="6">
        <f t="shared" si="60"/>
        <v>2.7346557379898944E-3</v>
      </c>
      <c r="G115" s="2"/>
      <c r="H115" s="7">
        <v>8493</v>
      </c>
      <c r="I115" s="2"/>
      <c r="J115" s="6">
        <f t="shared" si="61"/>
        <v>9.8742035994977446E-3</v>
      </c>
      <c r="K115" s="2"/>
      <c r="L115" s="7">
        <f t="shared" si="62"/>
        <v>-6850.66</v>
      </c>
      <c r="M115" s="2"/>
      <c r="N115" s="6">
        <f t="shared" si="63"/>
        <v>-0.80662427881784993</v>
      </c>
      <c r="O115" s="11"/>
      <c r="P115" s="7">
        <v>8307.39</v>
      </c>
      <c r="Q115" s="2"/>
      <c r="R115" s="6">
        <f t="shared" si="64"/>
        <v>3.5493728357805106E-3</v>
      </c>
      <c r="S115" s="2"/>
      <c r="T115" s="7">
        <v>19613</v>
      </c>
      <c r="U115" s="2"/>
      <c r="V115" s="6">
        <f t="shared" si="65"/>
        <v>4.9727327515542803E-3</v>
      </c>
      <c r="W115" s="2"/>
      <c r="X115" s="7">
        <f t="shared" si="66"/>
        <v>-11305.61</v>
      </c>
      <c r="Y115" s="2"/>
      <c r="Z115" s="6">
        <f t="shared" si="67"/>
        <v>-0.57643450772446847</v>
      </c>
    </row>
    <row r="116" spans="1:26" s="24" customFormat="1" hidden="1" outlineLevel="2" x14ac:dyDescent="0.25">
      <c r="A116" s="29"/>
      <c r="B116" s="11" t="str">
        <f>CONCATENATE("          ", "6375", " - ", "OUTSIDE REPAIRS &amp; MAINTENANCE")</f>
        <v xml:space="preserve">          6375 - OUTSIDE REPAIRS &amp; MAINTENANCE</v>
      </c>
      <c r="C116" s="11"/>
      <c r="D116" s="7">
        <v>2822.6</v>
      </c>
      <c r="E116" s="2"/>
      <c r="F116" s="6">
        <f t="shared" si="60"/>
        <v>4.6999033610886148E-3</v>
      </c>
      <c r="G116" s="2"/>
      <c r="H116" s="7">
        <v>487</v>
      </c>
      <c r="I116" s="2"/>
      <c r="J116" s="6">
        <f t="shared" si="61"/>
        <v>5.6620006510719437E-4</v>
      </c>
      <c r="K116" s="2"/>
      <c r="L116" s="7">
        <f t="shared" si="62"/>
        <v>2335.6</v>
      </c>
      <c r="M116" s="2"/>
      <c r="N116" s="6">
        <f t="shared" si="63"/>
        <v>4.7958932238193013</v>
      </c>
      <c r="O116" s="11"/>
      <c r="P116" s="7">
        <v>11284.1</v>
      </c>
      <c r="Q116" s="2"/>
      <c r="R116" s="6">
        <f t="shared" si="64"/>
        <v>4.8211866803208785E-3</v>
      </c>
      <c r="S116" s="2"/>
      <c r="T116" s="7">
        <v>2395</v>
      </c>
      <c r="U116" s="2"/>
      <c r="V116" s="6">
        <f t="shared" si="65"/>
        <v>6.0723473920218732E-4</v>
      </c>
      <c r="W116" s="2"/>
      <c r="X116" s="7">
        <f t="shared" si="66"/>
        <v>8889.1</v>
      </c>
      <c r="Y116" s="2"/>
      <c r="Z116" s="6">
        <f t="shared" si="67"/>
        <v>3.711524008350731</v>
      </c>
    </row>
    <row r="117" spans="1:26" s="28" customFormat="1" outlineLevel="1" collapsed="1" x14ac:dyDescent="0.25">
      <c r="A117" s="27"/>
      <c r="B117" s="14" t="str">
        <f>CONCATENATE("     ","Royalty &amp; Commissions                             ")</f>
        <v xml:space="preserve">     Royalty &amp; Commissions                             </v>
      </c>
      <c r="C117" s="14"/>
      <c r="D117" s="1">
        <f>SUM(OSRRefD22_18x_0)</f>
        <v>1174.22</v>
      </c>
      <c r="E117" s="1"/>
      <c r="F117" s="5">
        <f t="shared" ref="F117:F121" si="68">IF(D$12=0,0,D117/D$12)</f>
        <v>1.9551904360013725E-3</v>
      </c>
      <c r="G117" s="1"/>
      <c r="H117" s="1">
        <f>SUM(OSRRefH22_18x_0)</f>
        <v>2990</v>
      </c>
      <c r="I117" s="1"/>
      <c r="J117" s="5">
        <f t="shared" ref="J117:J121" si="69">IF(H$12=0,0,H117/H$12)</f>
        <v>3.476259126633493E-3</v>
      </c>
      <c r="K117" s="1"/>
      <c r="L117" s="1">
        <f t="shared" ref="L117:L121" si="70">+D117-H117</f>
        <v>-1815.78</v>
      </c>
      <c r="M117" s="1"/>
      <c r="N117" s="5">
        <f t="shared" ref="N117:N121" si="71">IF(H117=0,0,L117/H117)</f>
        <v>-0.60728428093645481</v>
      </c>
      <c r="O117" s="14"/>
      <c r="P117" s="1">
        <f>SUM(OSRRefP22_18x_0)</f>
        <v>9131.2100000000009</v>
      </c>
      <c r="Q117" s="1"/>
      <c r="R117" s="5">
        <f t="shared" ref="R117:R121" si="72">IF(P$12=0,0,P117/P$12)</f>
        <v>3.901353942911957E-3</v>
      </c>
      <c r="S117" s="1"/>
      <c r="T117" s="1">
        <f>SUM(OSRRefT22_18x_0)</f>
        <v>20989</v>
      </c>
      <c r="U117" s="1"/>
      <c r="V117" s="5">
        <f t="shared" ref="V117:V121" si="73">IF(T$12=0,0,T117/T$12)</f>
        <v>5.3216074910708601E-3</v>
      </c>
      <c r="W117" s="1"/>
      <c r="X117" s="1">
        <f t="shared" ref="X117:X121" si="74">+P117-T117</f>
        <v>-11857.789999999999</v>
      </c>
      <c r="Y117" s="1"/>
      <c r="Z117" s="5">
        <f t="shared" ref="Z117:Z121" si="75">IF(T117=0,0,X117/T117)</f>
        <v>-0.56495259421601784</v>
      </c>
    </row>
    <row r="118" spans="1:26" s="24" customFormat="1" hidden="1" outlineLevel="2" x14ac:dyDescent="0.25">
      <c r="A118" s="29"/>
      <c r="B118" s="11" t="str">
        <f>CONCATENATE("          ", "6252", " - ", "ROYALTY DUE CSTV")</f>
        <v xml:space="preserve">          6252 - ROYALTY DUE CSTV</v>
      </c>
      <c r="C118" s="11"/>
      <c r="D118" s="7"/>
      <c r="E118" s="2"/>
      <c r="F118" s="6">
        <f t="shared" si="68"/>
        <v>0</v>
      </c>
      <c r="G118" s="2"/>
      <c r="H118" s="7">
        <v>1266</v>
      </c>
      <c r="I118" s="2"/>
      <c r="J118" s="6">
        <f t="shared" si="69"/>
        <v>1.471887643584616E-3</v>
      </c>
      <c r="K118" s="2"/>
      <c r="L118" s="7">
        <f t="shared" si="70"/>
        <v>-1266</v>
      </c>
      <c r="M118" s="2"/>
      <c r="N118" s="6">
        <f t="shared" si="71"/>
        <v>-1</v>
      </c>
      <c r="O118" s="11"/>
      <c r="P118" s="7"/>
      <c r="Q118" s="2"/>
      <c r="R118" s="6">
        <f t="shared" si="72"/>
        <v>0</v>
      </c>
      <c r="S118" s="2"/>
      <c r="T118" s="7">
        <v>4188</v>
      </c>
      <c r="U118" s="2"/>
      <c r="V118" s="6">
        <f t="shared" si="73"/>
        <v>1.0618367798658709E-3</v>
      </c>
      <c r="W118" s="2"/>
      <c r="X118" s="7">
        <f t="shared" si="74"/>
        <v>-4188</v>
      </c>
      <c r="Y118" s="2"/>
      <c r="Z118" s="6">
        <f t="shared" si="75"/>
        <v>-1</v>
      </c>
    </row>
    <row r="119" spans="1:26" s="24" customFormat="1" hidden="1" outlineLevel="2" x14ac:dyDescent="0.25">
      <c r="A119" s="29"/>
      <c r="B119" s="11" t="str">
        <f>CONCATENATE("          ", "6253", " - ", "ROYALTY DUE ATHLETICS-LRG")</f>
        <v xml:space="preserve">          6253 - ROYALTY DUE ATHLETICS-LRG</v>
      </c>
      <c r="C119" s="11"/>
      <c r="D119" s="7"/>
      <c r="E119" s="2"/>
      <c r="F119" s="6">
        <f t="shared" si="68"/>
        <v>0</v>
      </c>
      <c r="G119" s="2"/>
      <c r="H119" s="7">
        <v>0</v>
      </c>
      <c r="I119" s="2"/>
      <c r="J119" s="6">
        <f t="shared" si="69"/>
        <v>0</v>
      </c>
      <c r="K119" s="2"/>
      <c r="L119" s="7">
        <f t="shared" si="70"/>
        <v>0</v>
      </c>
      <c r="M119" s="2"/>
      <c r="N119" s="6">
        <f t="shared" si="71"/>
        <v>0</v>
      </c>
      <c r="O119" s="11"/>
      <c r="P119" s="7">
        <v>14376.54</v>
      </c>
      <c r="Q119" s="2"/>
      <c r="R119" s="6">
        <f t="shared" si="72"/>
        <v>6.142446730984334E-3</v>
      </c>
      <c r="S119" s="2"/>
      <c r="T119" s="7">
        <v>5672</v>
      </c>
      <c r="U119" s="2"/>
      <c r="V119" s="6">
        <f t="shared" si="73"/>
        <v>1.4380941297514852E-3</v>
      </c>
      <c r="W119" s="2"/>
      <c r="X119" s="7">
        <f t="shared" si="74"/>
        <v>8704.5400000000009</v>
      </c>
      <c r="Y119" s="2"/>
      <c r="Z119" s="6">
        <f t="shared" si="75"/>
        <v>1.5346509167842033</v>
      </c>
    </row>
    <row r="120" spans="1:26" s="24" customFormat="1" hidden="1" outlineLevel="2" x14ac:dyDescent="0.25">
      <c r="A120" s="29"/>
      <c r="B120" s="11" t="str">
        <f>CONCATENATE("          ", "6254", " - ", "ROYALTY &amp; COMMISSIONS")</f>
        <v xml:space="preserve">          6254 - ROYALTY &amp; COMMISSIONS</v>
      </c>
      <c r="C120" s="11"/>
      <c r="D120" s="7"/>
      <c r="E120" s="2"/>
      <c r="F120" s="6">
        <f t="shared" si="68"/>
        <v>0</v>
      </c>
      <c r="G120" s="2"/>
      <c r="H120" s="7">
        <v>0</v>
      </c>
      <c r="I120" s="2"/>
      <c r="J120" s="6">
        <f t="shared" si="69"/>
        <v>0</v>
      </c>
      <c r="K120" s="2"/>
      <c r="L120" s="7">
        <f t="shared" si="70"/>
        <v>0</v>
      </c>
      <c r="M120" s="2"/>
      <c r="N120" s="6">
        <f t="shared" si="71"/>
        <v>0</v>
      </c>
      <c r="O120" s="11"/>
      <c r="P120" s="7">
        <v>-7027.5</v>
      </c>
      <c r="Q120" s="2"/>
      <c r="R120" s="6">
        <f t="shared" si="72"/>
        <v>-3.0025336000172789E-3</v>
      </c>
      <c r="S120" s="2"/>
      <c r="T120" s="7">
        <v>0</v>
      </c>
      <c r="U120" s="2"/>
      <c r="V120" s="6">
        <f t="shared" si="73"/>
        <v>0</v>
      </c>
      <c r="W120" s="2"/>
      <c r="X120" s="7">
        <f t="shared" si="74"/>
        <v>-7027.5</v>
      </c>
      <c r="Y120" s="2"/>
      <c r="Z120" s="6">
        <f t="shared" si="75"/>
        <v>0</v>
      </c>
    </row>
    <row r="121" spans="1:26" s="24" customFormat="1" hidden="1" outlineLevel="2" x14ac:dyDescent="0.25">
      <c r="A121" s="29"/>
      <c r="B121" s="11" t="str">
        <f>CONCATENATE("          ", "6259", " - ", "ROYALTY &amp; COMMISSIONS")</f>
        <v xml:space="preserve">          6259 - ROYALTY &amp; COMMISSIONS</v>
      </c>
      <c r="C121" s="11"/>
      <c r="D121" s="7">
        <v>1174.22</v>
      </c>
      <c r="E121" s="2"/>
      <c r="F121" s="6">
        <f t="shared" si="68"/>
        <v>1.9551904360013725E-3</v>
      </c>
      <c r="G121" s="2"/>
      <c r="H121" s="7">
        <v>1724</v>
      </c>
      <c r="I121" s="2"/>
      <c r="J121" s="6">
        <f t="shared" si="69"/>
        <v>2.004371483048877E-3</v>
      </c>
      <c r="K121" s="2"/>
      <c r="L121" s="7">
        <f t="shared" si="70"/>
        <v>-549.78</v>
      </c>
      <c r="M121" s="2"/>
      <c r="N121" s="6">
        <f t="shared" si="71"/>
        <v>-0.31889791183294663</v>
      </c>
      <c r="O121" s="11"/>
      <c r="P121" s="7">
        <v>1782.17</v>
      </c>
      <c r="Q121" s="2"/>
      <c r="R121" s="6">
        <f t="shared" si="72"/>
        <v>7.6144081194490123E-4</v>
      </c>
      <c r="S121" s="2"/>
      <c r="T121" s="7">
        <v>11129</v>
      </c>
      <c r="U121" s="2"/>
      <c r="V121" s="6">
        <f t="shared" si="73"/>
        <v>2.8216765814535047E-3</v>
      </c>
      <c r="W121" s="2"/>
      <c r="X121" s="7">
        <f t="shared" si="74"/>
        <v>-9346.83</v>
      </c>
      <c r="Y121" s="2"/>
      <c r="Z121" s="6">
        <f t="shared" si="75"/>
        <v>-0.83986252134064154</v>
      </c>
    </row>
    <row r="122" spans="1:26" s="28" customFormat="1" outlineLevel="1" collapsed="1" x14ac:dyDescent="0.25">
      <c r="A122" s="27"/>
      <c r="B122" s="14" t="str">
        <f>CONCATENATE("     ","Services                                          ")</f>
        <v xml:space="preserve">     Services                                          </v>
      </c>
      <c r="C122" s="14"/>
      <c r="D122" s="1">
        <f>SUM(OSRRefD22_19x_0)</f>
        <v>4679.8399999999992</v>
      </c>
      <c r="E122" s="1"/>
      <c r="F122" s="5">
        <f t="shared" ref="F122:F126" si="76">IF(D$12=0,0,D122/D$12)</f>
        <v>7.7923884876911157E-3</v>
      </c>
      <c r="G122" s="1"/>
      <c r="H122" s="1">
        <f>SUM(OSRRefH22_19x_0)</f>
        <v>4712</v>
      </c>
      <c r="I122" s="1"/>
      <c r="J122" s="5">
        <f t="shared" ref="J122:J126" si="77">IF(H$12=0,0,H122/H$12)</f>
        <v>5.4783053527414777E-3</v>
      </c>
      <c r="K122" s="1"/>
      <c r="L122" s="1">
        <f t="shared" ref="L122:L126" si="78">+D122-H122</f>
        <v>-32.160000000000764</v>
      </c>
      <c r="M122" s="1"/>
      <c r="N122" s="5">
        <f t="shared" ref="N122:N126" si="79">IF(H122=0,0,L122/H122)</f>
        <v>-6.8251273344653576E-3</v>
      </c>
      <c r="O122" s="14"/>
      <c r="P122" s="1">
        <f>SUM(OSRRefP22_19x_0)</f>
        <v>29572.63</v>
      </c>
      <c r="Q122" s="1"/>
      <c r="R122" s="5">
        <f t="shared" ref="R122:R126" si="80">IF(P$12=0,0,P122/P$12)</f>
        <v>1.2635050190804551E-2</v>
      </c>
      <c r="S122" s="1"/>
      <c r="T122" s="1">
        <f>SUM(OSRRefT22_19x_0)</f>
        <v>13733</v>
      </c>
      <c r="U122" s="1"/>
      <c r="V122" s="5">
        <f t="shared" ref="V122:V126" si="81">IF(T$12=0,0,T122/T$12)</f>
        <v>3.4819017425735447E-3</v>
      </c>
      <c r="W122" s="1"/>
      <c r="X122" s="1">
        <f t="shared" ref="X122:X126" si="82">+P122-T122</f>
        <v>15839.630000000001</v>
      </c>
      <c r="Y122" s="1"/>
      <c r="Z122" s="5">
        <f t="shared" ref="Z122:Z126" si="83">IF(T122=0,0,X122/T122)</f>
        <v>1.1533991116289231</v>
      </c>
    </row>
    <row r="123" spans="1:26" s="24" customFormat="1" hidden="1" outlineLevel="2" x14ac:dyDescent="0.25">
      <c r="A123" s="29"/>
      <c r="B123" s="11" t="str">
        <f>CONCATENATE("          ", "6282", " - ", "JANITORIAL/EXTERMINATOR EXPENS")</f>
        <v xml:space="preserve">          6282 - JANITORIAL/EXTERMINATOR EXPENS</v>
      </c>
      <c r="C123" s="11"/>
      <c r="D123" s="7">
        <v>1004.82</v>
      </c>
      <c r="E123" s="2"/>
      <c r="F123" s="6">
        <f t="shared" si="76"/>
        <v>1.6731229700591875E-3</v>
      </c>
      <c r="G123" s="2"/>
      <c r="H123" s="7">
        <v>4558</v>
      </c>
      <c r="I123" s="2"/>
      <c r="J123" s="6">
        <f t="shared" si="77"/>
        <v>5.2992605682927966E-3</v>
      </c>
      <c r="K123" s="2"/>
      <c r="L123" s="7">
        <f t="shared" si="78"/>
        <v>-3553.18</v>
      </c>
      <c r="M123" s="2"/>
      <c r="N123" s="6">
        <f t="shared" si="79"/>
        <v>-0.7795480473892058</v>
      </c>
      <c r="O123" s="11"/>
      <c r="P123" s="7">
        <v>1767.92</v>
      </c>
      <c r="Q123" s="2"/>
      <c r="R123" s="6">
        <f t="shared" si="80"/>
        <v>7.5535243004518646E-4</v>
      </c>
      <c r="S123" s="2"/>
      <c r="T123" s="7">
        <v>13416</v>
      </c>
      <c r="U123" s="2"/>
      <c r="V123" s="6">
        <f t="shared" si="81"/>
        <v>3.4015287102866581E-3</v>
      </c>
      <c r="W123" s="2"/>
      <c r="X123" s="7">
        <f t="shared" si="82"/>
        <v>-11648.08</v>
      </c>
      <c r="Y123" s="2"/>
      <c r="Z123" s="6">
        <f t="shared" si="83"/>
        <v>-0.86822301729278473</v>
      </c>
    </row>
    <row r="124" spans="1:26" s="24" customFormat="1" hidden="1" outlineLevel="2" x14ac:dyDescent="0.25">
      <c r="A124" s="29"/>
      <c r="B124" s="11" t="str">
        <f>CONCATENATE("          ", "6284", " - ", "TRASH REMOVAL EXPENSE")</f>
        <v xml:space="preserve">          6284 - TRASH REMOVAL EXPENSE</v>
      </c>
      <c r="C124" s="11"/>
      <c r="D124" s="7">
        <v>149.69999999999999</v>
      </c>
      <c r="E124" s="2"/>
      <c r="F124" s="6">
        <f t="shared" si="76"/>
        <v>2.4926505107169476E-4</v>
      </c>
      <c r="G124" s="2"/>
      <c r="H124" s="7">
        <v>120</v>
      </c>
      <c r="I124" s="2"/>
      <c r="J124" s="6">
        <f t="shared" si="77"/>
        <v>1.3951541645351812E-4</v>
      </c>
      <c r="K124" s="2"/>
      <c r="L124" s="7">
        <f t="shared" si="78"/>
        <v>29.699999999999989</v>
      </c>
      <c r="M124" s="2"/>
      <c r="N124" s="6">
        <f t="shared" si="79"/>
        <v>0.24749999999999991</v>
      </c>
      <c r="O124" s="11"/>
      <c r="P124" s="7">
        <v>441.97</v>
      </c>
      <c r="Q124" s="2"/>
      <c r="R124" s="6">
        <f t="shared" si="80"/>
        <v>1.8883383496259506E-4</v>
      </c>
      <c r="S124" s="2"/>
      <c r="T124" s="7">
        <v>240</v>
      </c>
      <c r="U124" s="2"/>
      <c r="V124" s="6">
        <f t="shared" si="81"/>
        <v>6.0850245264519816E-5</v>
      </c>
      <c r="W124" s="2"/>
      <c r="X124" s="7">
        <f t="shared" si="82"/>
        <v>201.97000000000003</v>
      </c>
      <c r="Y124" s="2"/>
      <c r="Z124" s="6">
        <f t="shared" si="83"/>
        <v>0.84154166666666674</v>
      </c>
    </row>
    <row r="125" spans="1:26" s="24" customFormat="1" hidden="1" outlineLevel="2" x14ac:dyDescent="0.25">
      <c r="A125" s="29"/>
      <c r="B125" s="11" t="str">
        <f>CONCATENATE("          ", "6285", " - ", "JANITORIAL SERVICES")</f>
        <v xml:space="preserve">          6285 - JANITORIAL SERVICES</v>
      </c>
      <c r="C125" s="11"/>
      <c r="D125" s="7">
        <v>3473.38</v>
      </c>
      <c r="E125" s="2"/>
      <c r="F125" s="6">
        <f t="shared" si="76"/>
        <v>5.7835153179118456E-3</v>
      </c>
      <c r="G125" s="2"/>
      <c r="H125" s="7"/>
      <c r="I125" s="2"/>
      <c r="J125" s="6">
        <f t="shared" si="77"/>
        <v>0</v>
      </c>
      <c r="K125" s="2"/>
      <c r="L125" s="7">
        <f t="shared" si="78"/>
        <v>3473.38</v>
      </c>
      <c r="M125" s="2"/>
      <c r="N125" s="6">
        <f t="shared" si="79"/>
        <v>0</v>
      </c>
      <c r="O125" s="11"/>
      <c r="P125" s="7">
        <v>27258.86</v>
      </c>
      <c r="Q125" s="2"/>
      <c r="R125" s="6">
        <f t="shared" si="80"/>
        <v>1.1646480689885023E-2</v>
      </c>
      <c r="S125" s="2"/>
      <c r="T125" s="7"/>
      <c r="U125" s="2"/>
      <c r="V125" s="6">
        <f t="shared" si="81"/>
        <v>0</v>
      </c>
      <c r="W125" s="2"/>
      <c r="X125" s="7">
        <f t="shared" si="82"/>
        <v>27258.86</v>
      </c>
      <c r="Y125" s="2"/>
      <c r="Z125" s="6">
        <f t="shared" si="83"/>
        <v>0</v>
      </c>
    </row>
    <row r="126" spans="1:26" s="24" customFormat="1" hidden="1" outlineLevel="2" x14ac:dyDescent="0.25">
      <c r="A126" s="29"/>
      <c r="B126" s="11" t="str">
        <f>CONCATENATE("          ", "6286", " - ", "LAUNDRY EXPENSE")</f>
        <v xml:space="preserve">          6286 - LAUNDRY EXPENSE</v>
      </c>
      <c r="C126" s="11"/>
      <c r="D126" s="7">
        <v>51.94</v>
      </c>
      <c r="E126" s="2"/>
      <c r="F126" s="6">
        <f t="shared" si="76"/>
        <v>8.6485148648388963E-5</v>
      </c>
      <c r="G126" s="2"/>
      <c r="H126" s="7">
        <v>34</v>
      </c>
      <c r="I126" s="2"/>
      <c r="J126" s="6">
        <f t="shared" si="77"/>
        <v>3.9529367995163463E-5</v>
      </c>
      <c r="K126" s="2"/>
      <c r="L126" s="7">
        <f t="shared" si="78"/>
        <v>17.939999999999998</v>
      </c>
      <c r="M126" s="2"/>
      <c r="N126" s="6">
        <f t="shared" si="79"/>
        <v>0.52764705882352936</v>
      </c>
      <c r="O126" s="11"/>
      <c r="P126" s="7">
        <v>103.88</v>
      </c>
      <c r="Q126" s="2"/>
      <c r="R126" s="6">
        <f t="shared" si="80"/>
        <v>4.4383235911745981E-5</v>
      </c>
      <c r="S126" s="2"/>
      <c r="T126" s="7">
        <v>77</v>
      </c>
      <c r="U126" s="2"/>
      <c r="V126" s="6">
        <f t="shared" si="81"/>
        <v>1.9522787022366776E-5</v>
      </c>
      <c r="W126" s="2"/>
      <c r="X126" s="7">
        <f t="shared" si="82"/>
        <v>26.879999999999995</v>
      </c>
      <c r="Y126" s="2"/>
      <c r="Z126" s="6">
        <f t="shared" si="83"/>
        <v>0.34909090909090901</v>
      </c>
    </row>
    <row r="127" spans="1:26" s="28" customFormat="1" outlineLevel="1" collapsed="1" x14ac:dyDescent="0.25">
      <c r="A127" s="27"/>
      <c r="B127" s="14" t="str">
        <f>CONCATENATE("     ","Subscriptions &amp; Dues                              ")</f>
        <v xml:space="preserve">     Subscriptions &amp; Dues                              </v>
      </c>
      <c r="C127" s="14"/>
      <c r="D127" s="1">
        <f>SUM(OSRRefD22_20x_0)</f>
        <v>-72.56</v>
      </c>
      <c r="E127" s="1"/>
      <c r="F127" s="5">
        <f t="shared" ref="F127:F129" si="84">IF(D$12=0,0,D127/D$12)</f>
        <v>-1.208194529443031E-4</v>
      </c>
      <c r="G127" s="1"/>
      <c r="H127" s="1">
        <f>SUM(OSRRefH22_20x_0)</f>
        <v>381</v>
      </c>
      <c r="I127" s="1"/>
      <c r="J127" s="5">
        <f t="shared" ref="J127:J129" si="85">IF(H$12=0,0,H127/H$12)</f>
        <v>4.4296144723992003E-4</v>
      </c>
      <c r="K127" s="1"/>
      <c r="L127" s="1">
        <f t="shared" ref="L127:L129" si="86">+D127-H127</f>
        <v>-453.56</v>
      </c>
      <c r="M127" s="1"/>
      <c r="N127" s="5">
        <f t="shared" ref="N127:N129" si="87">IF(H127=0,0,L127/H127)</f>
        <v>-1.1904461942257218</v>
      </c>
      <c r="O127" s="14"/>
      <c r="P127" s="1">
        <f>SUM(OSRRefP22_20x_0)</f>
        <v>52.76</v>
      </c>
      <c r="Q127" s="1"/>
      <c r="R127" s="5">
        <f t="shared" ref="R127:R129" si="88">IF(P$12=0,0,P127/P$12)</f>
        <v>2.2541966949400442E-5</v>
      </c>
      <c r="S127" s="1"/>
      <c r="T127" s="1">
        <f>SUM(OSRRefT22_20x_0)</f>
        <v>3518</v>
      </c>
      <c r="U127" s="1"/>
      <c r="V127" s="5">
        <f t="shared" ref="V127:V129" si="89">IF(T$12=0,0,T127/T$12)</f>
        <v>8.9196317850241973E-4</v>
      </c>
      <c r="W127" s="1"/>
      <c r="X127" s="1">
        <f t="shared" ref="X127:X129" si="90">+P127-T127</f>
        <v>-3465.24</v>
      </c>
      <c r="Y127" s="1"/>
      <c r="Z127" s="5">
        <f t="shared" ref="Z127:Z129" si="91">IF(T127=0,0,X127/T127)</f>
        <v>-0.98500284252416137</v>
      </c>
    </row>
    <row r="128" spans="1:26" s="24" customFormat="1" hidden="1" outlineLevel="2" x14ac:dyDescent="0.25">
      <c r="A128" s="29"/>
      <c r="B128" s="11" t="str">
        <f>CONCATENATE("          ", "6258", " - ", "MEMBERSHIP DUES")</f>
        <v xml:space="preserve">          6258 - MEMBERSHIP DUES</v>
      </c>
      <c r="C128" s="11"/>
      <c r="D128" s="7">
        <v>-72.56</v>
      </c>
      <c r="E128" s="2"/>
      <c r="F128" s="6">
        <f t="shared" si="84"/>
        <v>-1.208194529443031E-4</v>
      </c>
      <c r="G128" s="2"/>
      <c r="H128" s="7">
        <v>300</v>
      </c>
      <c r="I128" s="2"/>
      <c r="J128" s="6">
        <f t="shared" si="85"/>
        <v>3.4878854113379527E-4</v>
      </c>
      <c r="K128" s="2"/>
      <c r="L128" s="7">
        <f t="shared" si="86"/>
        <v>-372.56</v>
      </c>
      <c r="M128" s="2"/>
      <c r="N128" s="6">
        <f t="shared" si="87"/>
        <v>-1.2418666666666667</v>
      </c>
      <c r="O128" s="11"/>
      <c r="P128" s="7">
        <v>52.76</v>
      </c>
      <c r="Q128" s="2"/>
      <c r="R128" s="6">
        <f t="shared" si="88"/>
        <v>2.2541966949400442E-5</v>
      </c>
      <c r="S128" s="2"/>
      <c r="T128" s="7">
        <v>3295</v>
      </c>
      <c r="U128" s="2"/>
      <c r="V128" s="6">
        <f t="shared" si="89"/>
        <v>8.3542315894413667E-4</v>
      </c>
      <c r="W128" s="2"/>
      <c r="X128" s="7">
        <f t="shared" si="90"/>
        <v>-3242.24</v>
      </c>
      <c r="Y128" s="2"/>
      <c r="Z128" s="6">
        <f t="shared" si="91"/>
        <v>-0.98398786039453712</v>
      </c>
    </row>
    <row r="129" spans="1:26" s="24" customFormat="1" hidden="1" outlineLevel="2" x14ac:dyDescent="0.25">
      <c r="A129" s="29"/>
      <c r="B129" s="11" t="str">
        <f>CONCATENATE("          ", "6275", " - ", "SUBSCRIPTIONS")</f>
        <v xml:space="preserve">          6275 - SUBSCRIPTIONS</v>
      </c>
      <c r="C129" s="11"/>
      <c r="D129" s="7"/>
      <c r="E129" s="2"/>
      <c r="F129" s="6">
        <f t="shared" si="84"/>
        <v>0</v>
      </c>
      <c r="G129" s="2"/>
      <c r="H129" s="7">
        <v>81</v>
      </c>
      <c r="I129" s="2"/>
      <c r="J129" s="6">
        <f t="shared" si="85"/>
        <v>9.4172906106124721E-5</v>
      </c>
      <c r="K129" s="2"/>
      <c r="L129" s="7">
        <f t="shared" si="86"/>
        <v>-81</v>
      </c>
      <c r="M129" s="2"/>
      <c r="N129" s="6">
        <f t="shared" si="87"/>
        <v>-1</v>
      </c>
      <c r="O129" s="11"/>
      <c r="P129" s="7"/>
      <c r="Q129" s="2"/>
      <c r="R129" s="6">
        <f t="shared" si="88"/>
        <v>0</v>
      </c>
      <c r="S129" s="2"/>
      <c r="T129" s="7">
        <v>223</v>
      </c>
      <c r="U129" s="2"/>
      <c r="V129" s="6">
        <f t="shared" si="89"/>
        <v>5.6540019558282996E-5</v>
      </c>
      <c r="W129" s="2"/>
      <c r="X129" s="7">
        <f t="shared" si="90"/>
        <v>-223</v>
      </c>
      <c r="Y129" s="2"/>
      <c r="Z129" s="6">
        <f t="shared" si="91"/>
        <v>-1</v>
      </c>
    </row>
    <row r="130" spans="1:26" s="28" customFormat="1" outlineLevel="1" collapsed="1" x14ac:dyDescent="0.25">
      <c r="A130" s="27"/>
      <c r="B130" s="14" t="str">
        <f>CONCATENATE("     ","Supplies                                          ")</f>
        <v xml:space="preserve">     Supplies                                          </v>
      </c>
      <c r="C130" s="14"/>
      <c r="D130" s="1">
        <f>SUM(OSRRefD22_21x_0)</f>
        <v>5529.02</v>
      </c>
      <c r="E130" s="1"/>
      <c r="F130" s="5">
        <f t="shared" ref="F130:F137" si="92">IF(D$12=0,0,D130/D$12)</f>
        <v>9.2063557293014173E-3</v>
      </c>
      <c r="G130" s="1"/>
      <c r="H130" s="1">
        <f>SUM(OSRRefH22_21x_0)</f>
        <v>18130</v>
      </c>
      <c r="I130" s="1"/>
      <c r="J130" s="5">
        <f t="shared" ref="J130:J137" si="93">IF(H$12=0,0,H130/H$12)</f>
        <v>2.1078454169185697E-2</v>
      </c>
      <c r="K130" s="1"/>
      <c r="L130" s="1">
        <f t="shared" ref="L130:L137" si="94">+D130-H130</f>
        <v>-12600.98</v>
      </c>
      <c r="M130" s="1"/>
      <c r="N130" s="5">
        <f t="shared" ref="N130:N137" si="95">IF(H130=0,0,L130/H130)</f>
        <v>-0.69503474903474904</v>
      </c>
      <c r="O130" s="14"/>
      <c r="P130" s="1">
        <f>SUM(OSRRefP22_21x_0)</f>
        <v>28606.43</v>
      </c>
      <c r="Q130" s="1"/>
      <c r="R130" s="5">
        <f t="shared" ref="R130:R137" si="96">IF(P$12=0,0,P130/P$12)</f>
        <v>1.2222236535260375E-2</v>
      </c>
      <c r="S130" s="1"/>
      <c r="T130" s="1">
        <f>SUM(OSRRefT22_21x_0)</f>
        <v>38440</v>
      </c>
      <c r="U130" s="1"/>
      <c r="V130" s="5">
        <f t="shared" ref="V130:V137" si="97">IF(T$12=0,0,T130/T$12)</f>
        <v>9.7461809498672579E-3</v>
      </c>
      <c r="W130" s="1"/>
      <c r="X130" s="1">
        <f t="shared" ref="X130:X137" si="98">+P130-T130</f>
        <v>-9833.57</v>
      </c>
      <c r="Y130" s="1"/>
      <c r="Z130" s="5">
        <f t="shared" ref="Z130:Z137" si="99">IF(T130=0,0,X130/T130)</f>
        <v>-0.25581607700312176</v>
      </c>
    </row>
    <row r="131" spans="1:26" s="24" customFormat="1" hidden="1" outlineLevel="2" x14ac:dyDescent="0.25">
      <c r="A131" s="29"/>
      <c r="B131" s="11" t="str">
        <f>CONCATENATE("          ", "6234", " - ", "EXPENDABLE SUPPLIES &amp; EQUIPMEN")</f>
        <v xml:space="preserve">          6234 - EXPENDABLE SUPPLIES &amp; EQUIPMEN</v>
      </c>
      <c r="C131" s="11"/>
      <c r="D131" s="7"/>
      <c r="E131" s="2"/>
      <c r="F131" s="6">
        <f t="shared" si="92"/>
        <v>0</v>
      </c>
      <c r="G131" s="2"/>
      <c r="H131" s="7">
        <v>350</v>
      </c>
      <c r="I131" s="2"/>
      <c r="J131" s="6">
        <f t="shared" si="93"/>
        <v>4.0691996465609448E-4</v>
      </c>
      <c r="K131" s="2"/>
      <c r="L131" s="7">
        <f t="shared" si="94"/>
        <v>-350</v>
      </c>
      <c r="M131" s="2"/>
      <c r="N131" s="6">
        <f t="shared" si="95"/>
        <v>-1</v>
      </c>
      <c r="O131" s="11"/>
      <c r="P131" s="7"/>
      <c r="Q131" s="2"/>
      <c r="R131" s="6">
        <f t="shared" si="96"/>
        <v>0</v>
      </c>
      <c r="S131" s="2"/>
      <c r="T131" s="7">
        <v>550</v>
      </c>
      <c r="U131" s="2"/>
      <c r="V131" s="6">
        <f t="shared" si="97"/>
        <v>1.3944847873119124E-4</v>
      </c>
      <c r="W131" s="2"/>
      <c r="X131" s="7">
        <f t="shared" si="98"/>
        <v>-550</v>
      </c>
      <c r="Y131" s="2"/>
      <c r="Z131" s="6">
        <f t="shared" si="99"/>
        <v>-1</v>
      </c>
    </row>
    <row r="132" spans="1:26" s="24" customFormat="1" hidden="1" outlineLevel="2" x14ac:dyDescent="0.25">
      <c r="A132" s="29"/>
      <c r="B132" s="11" t="str">
        <f>CONCATENATE("          ", "6235", " - ", "COVID-19 EXPENSES")</f>
        <v xml:space="preserve">          6235 - COVID-19 EXPENSES</v>
      </c>
      <c r="C132" s="11"/>
      <c r="D132" s="7">
        <v>462.49</v>
      </c>
      <c r="E132" s="2"/>
      <c r="F132" s="6">
        <f t="shared" si="92"/>
        <v>7.7009080474380845E-4</v>
      </c>
      <c r="G132" s="2"/>
      <c r="H132" s="7">
        <v>125</v>
      </c>
      <c r="I132" s="2"/>
      <c r="J132" s="6">
        <f t="shared" si="93"/>
        <v>1.4532855880574803E-4</v>
      </c>
      <c r="K132" s="2"/>
      <c r="L132" s="7">
        <f t="shared" si="94"/>
        <v>337.49</v>
      </c>
      <c r="M132" s="2"/>
      <c r="N132" s="6">
        <f t="shared" si="95"/>
        <v>2.6999200000000001</v>
      </c>
      <c r="O132" s="11"/>
      <c r="P132" s="7">
        <v>3430.32</v>
      </c>
      <c r="Q132" s="2"/>
      <c r="R132" s="6">
        <f t="shared" si="96"/>
        <v>1.4656209261915719E-3</v>
      </c>
      <c r="S132" s="2"/>
      <c r="T132" s="7">
        <v>375</v>
      </c>
      <c r="U132" s="2"/>
      <c r="V132" s="6">
        <f t="shared" si="97"/>
        <v>9.5078508225812224E-5</v>
      </c>
      <c r="W132" s="2"/>
      <c r="X132" s="7">
        <f t="shared" si="98"/>
        <v>3055.32</v>
      </c>
      <c r="Y132" s="2"/>
      <c r="Z132" s="6">
        <f t="shared" si="99"/>
        <v>8.1475200000000001</v>
      </c>
    </row>
    <row r="133" spans="1:26" s="24" customFormat="1" hidden="1" outlineLevel="2" x14ac:dyDescent="0.25">
      <c r="A133" s="29"/>
      <c r="B133" s="11" t="str">
        <f>CONCATENATE("          ", "6237", " - ", "JANITORIAL SUPPLIES")</f>
        <v xml:space="preserve">          6237 - JANITORIAL SUPPLIES</v>
      </c>
      <c r="C133" s="11"/>
      <c r="D133" s="7">
        <v>366.22</v>
      </c>
      <c r="E133" s="2"/>
      <c r="F133" s="6">
        <f t="shared" si="92"/>
        <v>6.0979189715080877E-4</v>
      </c>
      <c r="G133" s="2"/>
      <c r="H133" s="7">
        <v>10</v>
      </c>
      <c r="I133" s="2"/>
      <c r="J133" s="6">
        <f t="shared" si="93"/>
        <v>1.1626284704459844E-5</v>
      </c>
      <c r="K133" s="2"/>
      <c r="L133" s="7">
        <f t="shared" si="94"/>
        <v>356.22</v>
      </c>
      <c r="M133" s="2"/>
      <c r="N133" s="6">
        <f t="shared" si="95"/>
        <v>35.622</v>
      </c>
      <c r="O133" s="11"/>
      <c r="P133" s="7">
        <v>2599.87</v>
      </c>
      <c r="Q133" s="2"/>
      <c r="R133" s="6">
        <f t="shared" si="96"/>
        <v>1.1108071192709958E-3</v>
      </c>
      <c r="S133" s="2"/>
      <c r="T133" s="7">
        <v>120</v>
      </c>
      <c r="U133" s="2"/>
      <c r="V133" s="6">
        <f t="shared" si="97"/>
        <v>3.0425122632259908E-5</v>
      </c>
      <c r="W133" s="2"/>
      <c r="X133" s="7">
        <f t="shared" si="98"/>
        <v>2479.87</v>
      </c>
      <c r="Y133" s="2"/>
      <c r="Z133" s="6">
        <f t="shared" si="99"/>
        <v>20.665583333333334</v>
      </c>
    </row>
    <row r="134" spans="1:26" s="24" customFormat="1" hidden="1" outlineLevel="2" x14ac:dyDescent="0.25">
      <c r="A134" s="29"/>
      <c r="B134" s="11" t="str">
        <f>CONCATENATE("          ", "6241", " - ", "OFFICE EXPENSE")</f>
        <v xml:space="preserve">          6241 - OFFICE EXPENSE</v>
      </c>
      <c r="C134" s="11"/>
      <c r="D134" s="7">
        <v>278.41000000000003</v>
      </c>
      <c r="E134" s="2"/>
      <c r="F134" s="6">
        <f t="shared" si="92"/>
        <v>4.6357971188290282E-4</v>
      </c>
      <c r="G134" s="2"/>
      <c r="H134" s="7">
        <v>470</v>
      </c>
      <c r="I134" s="2"/>
      <c r="J134" s="6">
        <f t="shared" si="93"/>
        <v>5.4643538110961257E-4</v>
      </c>
      <c r="K134" s="2"/>
      <c r="L134" s="7">
        <f t="shared" si="94"/>
        <v>-191.58999999999997</v>
      </c>
      <c r="M134" s="2"/>
      <c r="N134" s="6">
        <f t="shared" si="95"/>
        <v>-0.40763829787234035</v>
      </c>
      <c r="O134" s="11"/>
      <c r="P134" s="7">
        <v>6173.89</v>
      </c>
      <c r="Q134" s="2"/>
      <c r="R134" s="6">
        <f t="shared" si="96"/>
        <v>2.637824570303903E-3</v>
      </c>
      <c r="S134" s="2"/>
      <c r="T134" s="7">
        <v>1710</v>
      </c>
      <c r="U134" s="2"/>
      <c r="V134" s="6">
        <f t="shared" si="97"/>
        <v>4.3355799750970369E-4</v>
      </c>
      <c r="W134" s="2"/>
      <c r="X134" s="7">
        <f t="shared" si="98"/>
        <v>4463.8900000000003</v>
      </c>
      <c r="Y134" s="2"/>
      <c r="Z134" s="6">
        <f t="shared" si="99"/>
        <v>2.6104619883040936</v>
      </c>
    </row>
    <row r="135" spans="1:26" s="24" customFormat="1" hidden="1" outlineLevel="2" x14ac:dyDescent="0.25">
      <c r="A135" s="29"/>
      <c r="B135" s="11" t="str">
        <f>CONCATENATE("          ", "6243", " - ", "PAPER SUPPLIES")</f>
        <v xml:space="preserve">          6243 - PAPER SUPPLIES</v>
      </c>
      <c r="C135" s="11"/>
      <c r="D135" s="7"/>
      <c r="E135" s="2"/>
      <c r="F135" s="6">
        <f t="shared" si="92"/>
        <v>0</v>
      </c>
      <c r="G135" s="2"/>
      <c r="H135" s="7">
        <v>7700</v>
      </c>
      <c r="I135" s="2"/>
      <c r="J135" s="6">
        <f t="shared" si="93"/>
        <v>8.9522392224340788E-3</v>
      </c>
      <c r="K135" s="2"/>
      <c r="L135" s="7">
        <f t="shared" si="94"/>
        <v>-7700</v>
      </c>
      <c r="M135" s="2"/>
      <c r="N135" s="6">
        <f t="shared" si="95"/>
        <v>-1</v>
      </c>
      <c r="O135" s="11"/>
      <c r="P135" s="7">
        <v>3450.92</v>
      </c>
      <c r="Q135" s="2"/>
      <c r="R135" s="6">
        <f t="shared" si="96"/>
        <v>1.4744223765167737E-3</v>
      </c>
      <c r="S135" s="2"/>
      <c r="T135" s="7">
        <v>13000</v>
      </c>
      <c r="U135" s="2"/>
      <c r="V135" s="6">
        <f t="shared" si="97"/>
        <v>3.2960549518281567E-3</v>
      </c>
      <c r="W135" s="2"/>
      <c r="X135" s="7">
        <f t="shared" si="98"/>
        <v>-9549.08</v>
      </c>
      <c r="Y135" s="2"/>
      <c r="Z135" s="6">
        <f t="shared" si="99"/>
        <v>-0.73454461538461535</v>
      </c>
    </row>
    <row r="136" spans="1:26" s="24" customFormat="1" hidden="1" outlineLevel="2" x14ac:dyDescent="0.25">
      <c r="A136" s="29"/>
      <c r="B136" s="11" t="str">
        <f>CONCATENATE("          ", "6245", " - ", "PRINTING")</f>
        <v xml:space="preserve">          6245 - PRINTING</v>
      </c>
      <c r="C136" s="11"/>
      <c r="D136" s="7">
        <v>276.43</v>
      </c>
      <c r="E136" s="2"/>
      <c r="F136" s="6">
        <f t="shared" si="92"/>
        <v>4.6028281942383831E-4</v>
      </c>
      <c r="G136" s="2"/>
      <c r="H136" s="7">
        <v>1600</v>
      </c>
      <c r="I136" s="2"/>
      <c r="J136" s="6">
        <f t="shared" si="93"/>
        <v>1.8602055527135748E-3</v>
      </c>
      <c r="K136" s="2"/>
      <c r="L136" s="7">
        <f t="shared" si="94"/>
        <v>-1323.57</v>
      </c>
      <c r="M136" s="2"/>
      <c r="N136" s="6">
        <f t="shared" si="95"/>
        <v>-0.82723124999999997</v>
      </c>
      <c r="O136" s="11"/>
      <c r="P136" s="7">
        <v>-323.75</v>
      </c>
      <c r="Q136" s="2"/>
      <c r="R136" s="6">
        <f t="shared" si="96"/>
        <v>-1.3832376421282021E-4</v>
      </c>
      <c r="S136" s="2"/>
      <c r="T136" s="7">
        <v>1655</v>
      </c>
      <c r="U136" s="2"/>
      <c r="V136" s="6">
        <f t="shared" si="97"/>
        <v>4.1961314963658459E-4</v>
      </c>
      <c r="W136" s="2"/>
      <c r="X136" s="7">
        <f t="shared" si="98"/>
        <v>-1978.75</v>
      </c>
      <c r="Y136" s="2"/>
      <c r="Z136" s="6">
        <f t="shared" si="99"/>
        <v>-1.195619335347432</v>
      </c>
    </row>
    <row r="137" spans="1:26" s="24" customFormat="1" hidden="1" outlineLevel="2" x14ac:dyDescent="0.25">
      <c r="A137" s="29"/>
      <c r="B137" s="11" t="str">
        <f>CONCATENATE("          ", "6247", " - ", "STORE SUPPLIES")</f>
        <v xml:space="preserve">          6247 - STORE SUPPLIES</v>
      </c>
      <c r="C137" s="11"/>
      <c r="D137" s="7">
        <v>4145.47</v>
      </c>
      <c r="E137" s="2"/>
      <c r="F137" s="6">
        <f t="shared" si="92"/>
        <v>6.9026104961000577E-3</v>
      </c>
      <c r="G137" s="2"/>
      <c r="H137" s="7">
        <v>7875</v>
      </c>
      <c r="I137" s="2"/>
      <c r="J137" s="6">
        <f t="shared" si="93"/>
        <v>9.1556992047621254E-3</v>
      </c>
      <c r="K137" s="2"/>
      <c r="L137" s="7">
        <f t="shared" si="94"/>
        <v>-3729.5299999999997</v>
      </c>
      <c r="M137" s="2"/>
      <c r="N137" s="6">
        <f t="shared" si="95"/>
        <v>-0.47359111111111107</v>
      </c>
      <c r="O137" s="11"/>
      <c r="P137" s="7">
        <v>13275.18</v>
      </c>
      <c r="Q137" s="2"/>
      <c r="R137" s="6">
        <f t="shared" si="96"/>
        <v>5.6718853071899503E-3</v>
      </c>
      <c r="S137" s="2"/>
      <c r="T137" s="7">
        <v>21030</v>
      </c>
      <c r="U137" s="2"/>
      <c r="V137" s="6">
        <f t="shared" si="97"/>
        <v>5.3320027413035495E-3</v>
      </c>
      <c r="W137" s="2"/>
      <c r="X137" s="7">
        <f t="shared" si="98"/>
        <v>-7754.82</v>
      </c>
      <c r="Y137" s="2"/>
      <c r="Z137" s="6">
        <f t="shared" si="99"/>
        <v>-0.36875035663338085</v>
      </c>
    </row>
    <row r="138" spans="1:26" s="28" customFormat="1" outlineLevel="1" collapsed="1" x14ac:dyDescent="0.25">
      <c r="A138" s="27"/>
      <c r="B138" s="14" t="str">
        <f>CONCATENATE("     ","Telephone/Data Lines                              ")</f>
        <v xml:space="preserve">     Telephone/Data Lines                              </v>
      </c>
      <c r="C138" s="14"/>
      <c r="D138" s="1">
        <f>SUM(OSRRefD22_22x_0)</f>
        <v>1901.69</v>
      </c>
      <c r="E138" s="1"/>
      <c r="F138" s="5">
        <f t="shared" ref="F138:F140" si="100">IF(D$12=0,0,D138/D$12)</f>
        <v>3.1664986972112976E-3</v>
      </c>
      <c r="G138" s="1"/>
      <c r="H138" s="1">
        <f>SUM(OSRRefH22_22x_0)</f>
        <v>2013</v>
      </c>
      <c r="I138" s="1"/>
      <c r="J138" s="5">
        <f t="shared" ref="J138:J140" si="101">IF(H$12=0,0,H138/H$12)</f>
        <v>2.3403711110077663E-3</v>
      </c>
      <c r="K138" s="1"/>
      <c r="L138" s="1">
        <f t="shared" ref="L138:L140" si="102">+D138-H138</f>
        <v>-111.30999999999995</v>
      </c>
      <c r="M138" s="1"/>
      <c r="N138" s="5">
        <f t="shared" ref="N138:N140" si="103">IF(H138=0,0,L138/H138)</f>
        <v>-5.5295578738201664E-2</v>
      </c>
      <c r="O138" s="14"/>
      <c r="P138" s="1">
        <f>SUM(OSRRefP22_22x_0)</f>
        <v>5863.32</v>
      </c>
      <c r="Q138" s="1"/>
      <c r="R138" s="5">
        <f t="shared" ref="R138:R140" si="104">IF(P$12=0,0,P138/P$12)</f>
        <v>2.5051320252797312E-3</v>
      </c>
      <c r="S138" s="1"/>
      <c r="T138" s="1">
        <f>SUM(OSRRefT22_22x_0)</f>
        <v>6089</v>
      </c>
      <c r="U138" s="1"/>
      <c r="V138" s="5">
        <f t="shared" ref="V138:V140" si="105">IF(T$12=0,0,T138/T$12)</f>
        <v>1.5438214308985882E-3</v>
      </c>
      <c r="W138" s="1"/>
      <c r="X138" s="1">
        <f t="shared" ref="X138:X140" si="106">+P138-T138</f>
        <v>-225.68000000000029</v>
      </c>
      <c r="Y138" s="1"/>
      <c r="Z138" s="5">
        <f t="shared" ref="Z138:Z140" si="107">IF(T138=0,0,X138/T138)</f>
        <v>-3.7063557234357086E-2</v>
      </c>
    </row>
    <row r="139" spans="1:26" s="24" customFormat="1" hidden="1" outlineLevel="2" x14ac:dyDescent="0.25">
      <c r="A139" s="29"/>
      <c r="B139" s="11" t="str">
        <f>CONCATENATE("          ", "6303", " - ", "DATA PHONE LINES")</f>
        <v xml:space="preserve">          6303 - DATA PHONE LINES</v>
      </c>
      <c r="C139" s="11"/>
      <c r="D139" s="7"/>
      <c r="E139" s="2"/>
      <c r="F139" s="6">
        <f t="shared" si="100"/>
        <v>0</v>
      </c>
      <c r="G139" s="2"/>
      <c r="H139" s="7">
        <v>50</v>
      </c>
      <c r="I139" s="2"/>
      <c r="J139" s="6">
        <f t="shared" si="101"/>
        <v>5.8131423522299211E-5</v>
      </c>
      <c r="K139" s="2"/>
      <c r="L139" s="7">
        <f t="shared" si="102"/>
        <v>-50</v>
      </c>
      <c r="M139" s="2"/>
      <c r="N139" s="6">
        <f t="shared" si="103"/>
        <v>-1</v>
      </c>
      <c r="O139" s="11"/>
      <c r="P139" s="7">
        <v>295</v>
      </c>
      <c r="Q139" s="2"/>
      <c r="R139" s="6">
        <f t="shared" si="104"/>
        <v>1.260401866958516E-4</v>
      </c>
      <c r="S139" s="2"/>
      <c r="T139" s="7">
        <v>150</v>
      </c>
      <c r="U139" s="2"/>
      <c r="V139" s="6">
        <f t="shared" si="105"/>
        <v>3.8031403290324884E-5</v>
      </c>
      <c r="W139" s="2"/>
      <c r="X139" s="7">
        <f t="shared" si="106"/>
        <v>145</v>
      </c>
      <c r="Y139" s="2"/>
      <c r="Z139" s="6">
        <f t="shared" si="107"/>
        <v>0.96666666666666667</v>
      </c>
    </row>
    <row r="140" spans="1:26" s="24" customFormat="1" hidden="1" outlineLevel="2" x14ac:dyDescent="0.25">
      <c r="A140" s="29"/>
      <c r="B140" s="11" t="str">
        <f>CONCATENATE("          ", "6309", " - ", "TELEPHONE")</f>
        <v xml:space="preserve">          6309 - TELEPHONE</v>
      </c>
      <c r="C140" s="11"/>
      <c r="D140" s="7">
        <v>1901.69</v>
      </c>
      <c r="E140" s="2"/>
      <c r="F140" s="6">
        <f t="shared" si="100"/>
        <v>3.1664986972112976E-3</v>
      </c>
      <c r="G140" s="2"/>
      <c r="H140" s="7">
        <v>1963</v>
      </c>
      <c r="I140" s="2"/>
      <c r="J140" s="6">
        <f t="shared" si="101"/>
        <v>2.2822396874854671E-3</v>
      </c>
      <c r="K140" s="2"/>
      <c r="L140" s="7">
        <f t="shared" si="102"/>
        <v>-61.309999999999945</v>
      </c>
      <c r="M140" s="2"/>
      <c r="N140" s="6">
        <f t="shared" si="103"/>
        <v>-3.1232806928171139E-2</v>
      </c>
      <c r="O140" s="11"/>
      <c r="P140" s="7">
        <v>5568.32</v>
      </c>
      <c r="Q140" s="2"/>
      <c r="R140" s="6">
        <f t="shared" si="104"/>
        <v>2.3790918385838793E-3</v>
      </c>
      <c r="S140" s="2"/>
      <c r="T140" s="7">
        <v>5939</v>
      </c>
      <c r="U140" s="2"/>
      <c r="V140" s="6">
        <f t="shared" si="105"/>
        <v>1.5057900276082635E-3</v>
      </c>
      <c r="W140" s="2"/>
      <c r="X140" s="7">
        <f t="shared" si="106"/>
        <v>-370.68000000000029</v>
      </c>
      <c r="Y140" s="2"/>
      <c r="Z140" s="6">
        <f t="shared" si="107"/>
        <v>-6.2414547903687535E-2</v>
      </c>
    </row>
    <row r="141" spans="1:26" s="28" customFormat="1" outlineLevel="1" collapsed="1" x14ac:dyDescent="0.25">
      <c r="A141" s="27"/>
      <c r="B141" s="14" t="str">
        <f>CONCATENATE("     ","Training                                          ")</f>
        <v xml:space="preserve">     Training                                          </v>
      </c>
      <c r="C141" s="14"/>
      <c r="D141" s="1">
        <f>SUM(OSRRefD22_23x_0)</f>
        <v>595</v>
      </c>
      <c r="E141" s="1"/>
      <c r="F141" s="5">
        <f t="shared" ref="F141:F146" si="108">IF(D$12=0,0,D141/D$12)</f>
        <v>9.9073283492089785E-4</v>
      </c>
      <c r="G141" s="1"/>
      <c r="H141" s="1">
        <f>SUM(OSRRefH22_23x_0)</f>
        <v>0</v>
      </c>
      <c r="I141" s="1"/>
      <c r="J141" s="5">
        <f t="shared" ref="J141:J146" si="109">IF(H$12=0,0,H141/H$12)</f>
        <v>0</v>
      </c>
      <c r="K141" s="1"/>
      <c r="L141" s="1">
        <f t="shared" ref="L141:L146" si="110">+D141-H141</f>
        <v>595</v>
      </c>
      <c r="M141" s="1"/>
      <c r="N141" s="5">
        <f t="shared" ref="N141:N146" si="111">IF(H141=0,0,L141/H141)</f>
        <v>0</v>
      </c>
      <c r="O141" s="14"/>
      <c r="P141" s="1">
        <f>SUM(OSRRefP22_23x_0)</f>
        <v>595</v>
      </c>
      <c r="Q141" s="1"/>
      <c r="R141" s="5">
        <f t="shared" ref="R141:R146" si="112">IF(P$12=0,0,P141/P$12)</f>
        <v>2.5421664774248035E-4</v>
      </c>
      <c r="S141" s="1"/>
      <c r="T141" s="1">
        <f>SUM(OSRRefT22_23x_0)</f>
        <v>75</v>
      </c>
      <c r="U141" s="1"/>
      <c r="V141" s="5">
        <f t="shared" ref="V141:V146" si="113">IF(T$12=0,0,T141/T$12)</f>
        <v>1.9015701645162442E-5</v>
      </c>
      <c r="W141" s="1"/>
      <c r="X141" s="1">
        <f t="shared" ref="X141:X146" si="114">+P141-T141</f>
        <v>520</v>
      </c>
      <c r="Y141" s="1"/>
      <c r="Z141" s="5">
        <f t="shared" ref="Z141:Z146" si="115">IF(T141=0,0,X141/T141)</f>
        <v>6.9333333333333336</v>
      </c>
    </row>
    <row r="142" spans="1:26" s="24" customFormat="1" hidden="1" outlineLevel="2" x14ac:dyDescent="0.25">
      <c r="A142" s="29"/>
      <c r="B142" s="11" t="str">
        <f>CONCATENATE("          ", "6376", " - ", "TRAINING")</f>
        <v xml:space="preserve">          6376 - TRAINING</v>
      </c>
      <c r="C142" s="11"/>
      <c r="D142" s="7">
        <v>595</v>
      </c>
      <c r="E142" s="2"/>
      <c r="F142" s="6">
        <f t="shared" si="108"/>
        <v>9.9073283492089785E-4</v>
      </c>
      <c r="G142" s="2"/>
      <c r="H142" s="7"/>
      <c r="I142" s="2"/>
      <c r="J142" s="6">
        <f t="shared" si="109"/>
        <v>0</v>
      </c>
      <c r="K142" s="2"/>
      <c r="L142" s="7">
        <f t="shared" si="110"/>
        <v>595</v>
      </c>
      <c r="M142" s="2"/>
      <c r="N142" s="6">
        <f t="shared" si="111"/>
        <v>0</v>
      </c>
      <c r="O142" s="11"/>
      <c r="P142" s="7">
        <v>595</v>
      </c>
      <c r="Q142" s="2"/>
      <c r="R142" s="6">
        <f t="shared" si="112"/>
        <v>2.5421664774248035E-4</v>
      </c>
      <c r="S142" s="2"/>
      <c r="T142" s="7">
        <v>75</v>
      </c>
      <c r="U142" s="2"/>
      <c r="V142" s="6">
        <f t="shared" si="113"/>
        <v>1.9015701645162442E-5</v>
      </c>
      <c r="W142" s="2"/>
      <c r="X142" s="7">
        <f t="shared" si="114"/>
        <v>520</v>
      </c>
      <c r="Y142" s="2"/>
      <c r="Z142" s="6">
        <f t="shared" si="115"/>
        <v>6.9333333333333336</v>
      </c>
    </row>
    <row r="143" spans="1:26" s="28" customFormat="1" outlineLevel="1" collapsed="1" x14ac:dyDescent="0.25">
      <c r="A143" s="27"/>
      <c r="B143" s="14" t="str">
        <f>CONCATENATE("     ","Travel                                            ")</f>
        <v xml:space="preserve">     Travel                                            </v>
      </c>
      <c r="C143" s="14"/>
      <c r="D143" s="1">
        <f>SUM(OSRRefD22_24x_0)</f>
        <v>27.39</v>
      </c>
      <c r="E143" s="1"/>
      <c r="F143" s="5">
        <f t="shared" si="108"/>
        <v>4.5607012350392253E-5</v>
      </c>
      <c r="G143" s="1"/>
      <c r="H143" s="1">
        <f>SUM(OSRRefH22_24x_0)</f>
        <v>175</v>
      </c>
      <c r="I143" s="1"/>
      <c r="J143" s="5">
        <f t="shared" si="109"/>
        <v>2.0345998232804724E-4</v>
      </c>
      <c r="K143" s="1"/>
      <c r="L143" s="1">
        <f t="shared" si="110"/>
        <v>-147.61000000000001</v>
      </c>
      <c r="M143" s="1"/>
      <c r="N143" s="5">
        <f t="shared" si="111"/>
        <v>-0.84348571428571439</v>
      </c>
      <c r="O143" s="14"/>
      <c r="P143" s="1">
        <f>SUM(OSRRefP22_24x_0)</f>
        <v>710.53</v>
      </c>
      <c r="Q143" s="1"/>
      <c r="R143" s="5">
        <f t="shared" si="112"/>
        <v>3.0357740289153711E-4</v>
      </c>
      <c r="S143" s="1"/>
      <c r="T143" s="1">
        <f>SUM(OSRRefT22_24x_0)</f>
        <v>525</v>
      </c>
      <c r="U143" s="1"/>
      <c r="V143" s="5">
        <f t="shared" si="113"/>
        <v>1.3310991151613711E-4</v>
      </c>
      <c r="W143" s="1"/>
      <c r="X143" s="1">
        <f t="shared" si="114"/>
        <v>185.52999999999997</v>
      </c>
      <c r="Y143" s="1"/>
      <c r="Z143" s="5">
        <f t="shared" si="115"/>
        <v>0.35339047619047614</v>
      </c>
    </row>
    <row r="144" spans="1:26" s="24" customFormat="1" hidden="1" outlineLevel="2" x14ac:dyDescent="0.25">
      <c r="A144" s="29"/>
      <c r="B144" s="11" t="str">
        <f>CONCATENATE("          ", "6292", " - ", "TRAVEL/CONFERENCE")</f>
        <v xml:space="preserve">          6292 - TRAVEL/CONFERENCE</v>
      </c>
      <c r="C144" s="11"/>
      <c r="D144" s="7"/>
      <c r="E144" s="2"/>
      <c r="F144" s="6">
        <f t="shared" si="108"/>
        <v>0</v>
      </c>
      <c r="G144" s="2"/>
      <c r="H144" s="7">
        <v>125</v>
      </c>
      <c r="I144" s="2"/>
      <c r="J144" s="6">
        <f t="shared" si="109"/>
        <v>1.4532855880574803E-4</v>
      </c>
      <c r="K144" s="2"/>
      <c r="L144" s="7">
        <f t="shared" si="110"/>
        <v>-125</v>
      </c>
      <c r="M144" s="2"/>
      <c r="N144" s="6">
        <f t="shared" si="111"/>
        <v>-1</v>
      </c>
      <c r="O144" s="11"/>
      <c r="P144" s="7">
        <v>495</v>
      </c>
      <c r="Q144" s="2"/>
      <c r="R144" s="6">
        <f t="shared" si="112"/>
        <v>2.1149116072693744E-4</v>
      </c>
      <c r="S144" s="2"/>
      <c r="T144" s="7">
        <v>375</v>
      </c>
      <c r="U144" s="2"/>
      <c r="V144" s="6">
        <f t="shared" si="113"/>
        <v>9.5078508225812224E-5</v>
      </c>
      <c r="W144" s="2"/>
      <c r="X144" s="7">
        <f t="shared" si="114"/>
        <v>120</v>
      </c>
      <c r="Y144" s="2"/>
      <c r="Z144" s="6">
        <f t="shared" si="115"/>
        <v>0.32</v>
      </c>
    </row>
    <row r="145" spans="1:26" s="24" customFormat="1" hidden="1" outlineLevel="2" x14ac:dyDescent="0.25">
      <c r="A145" s="29"/>
      <c r="B145" s="11" t="str">
        <f>CONCATENATE("          ", "6294", " - ", "TRAVEL OPERATIONAL")</f>
        <v xml:space="preserve">          6294 - TRAVEL OPERATIONAL</v>
      </c>
      <c r="C145" s="11"/>
      <c r="D145" s="7">
        <v>27.39</v>
      </c>
      <c r="E145" s="2"/>
      <c r="F145" s="6">
        <f t="shared" si="108"/>
        <v>4.5607012350392253E-5</v>
      </c>
      <c r="G145" s="2"/>
      <c r="H145" s="7">
        <v>25</v>
      </c>
      <c r="I145" s="2"/>
      <c r="J145" s="6">
        <f t="shared" si="109"/>
        <v>2.9065711761149606E-5</v>
      </c>
      <c r="K145" s="2"/>
      <c r="L145" s="7">
        <f t="shared" si="110"/>
        <v>2.3900000000000006</v>
      </c>
      <c r="M145" s="2"/>
      <c r="N145" s="6">
        <f t="shared" si="111"/>
        <v>9.5600000000000018E-2</v>
      </c>
      <c r="O145" s="11"/>
      <c r="P145" s="7">
        <v>215.53</v>
      </c>
      <c r="Q145" s="2"/>
      <c r="R145" s="6">
        <f t="shared" si="112"/>
        <v>9.2086242164599651E-5</v>
      </c>
      <c r="S145" s="2"/>
      <c r="T145" s="7">
        <v>75</v>
      </c>
      <c r="U145" s="2"/>
      <c r="V145" s="6">
        <f t="shared" si="113"/>
        <v>1.9015701645162442E-5</v>
      </c>
      <c r="W145" s="2"/>
      <c r="X145" s="7">
        <f t="shared" si="114"/>
        <v>140.53</v>
      </c>
      <c r="Y145" s="2"/>
      <c r="Z145" s="6">
        <f t="shared" si="115"/>
        <v>1.8737333333333333</v>
      </c>
    </row>
    <row r="146" spans="1:26" s="24" customFormat="1" hidden="1" outlineLevel="2" x14ac:dyDescent="0.25">
      <c r="A146" s="29"/>
      <c r="B146" s="11" t="str">
        <f>CONCATENATE("          ", "6298", " - ", "VEHICLE MILEAGE")</f>
        <v xml:space="preserve">          6298 - VEHICLE MILEAGE</v>
      </c>
      <c r="C146" s="11"/>
      <c r="D146" s="7"/>
      <c r="E146" s="2"/>
      <c r="F146" s="6">
        <f t="shared" si="108"/>
        <v>0</v>
      </c>
      <c r="G146" s="2"/>
      <c r="H146" s="7">
        <v>25</v>
      </c>
      <c r="I146" s="2"/>
      <c r="J146" s="6">
        <f t="shared" si="109"/>
        <v>2.9065711761149606E-5</v>
      </c>
      <c r="K146" s="2"/>
      <c r="L146" s="7">
        <f t="shared" si="110"/>
        <v>-25</v>
      </c>
      <c r="M146" s="2"/>
      <c r="N146" s="6">
        <f t="shared" si="111"/>
        <v>-1</v>
      </c>
      <c r="O146" s="11"/>
      <c r="P146" s="7"/>
      <c r="Q146" s="2"/>
      <c r="R146" s="6">
        <f t="shared" si="112"/>
        <v>0</v>
      </c>
      <c r="S146" s="2"/>
      <c r="T146" s="7">
        <v>75</v>
      </c>
      <c r="U146" s="2"/>
      <c r="V146" s="6">
        <f t="shared" si="113"/>
        <v>1.9015701645162442E-5</v>
      </c>
      <c r="W146" s="2"/>
      <c r="X146" s="7">
        <f t="shared" si="114"/>
        <v>-75</v>
      </c>
      <c r="Y146" s="2"/>
      <c r="Z146" s="6">
        <f t="shared" si="115"/>
        <v>-1</v>
      </c>
    </row>
    <row r="147" spans="1:26" s="28" customFormat="1" outlineLevel="1" collapsed="1" x14ac:dyDescent="0.25">
      <c r="A147" s="27"/>
      <c r="B147" s="14" t="str">
        <f>CONCATENATE("     ","Utilities                                         ")</f>
        <v xml:space="preserve">     Utilities                                         </v>
      </c>
      <c r="C147" s="14"/>
      <c r="D147" s="1">
        <f>SUM(OSRRefD22_25x_0)</f>
        <v>6137.6</v>
      </c>
      <c r="E147" s="1"/>
      <c r="F147" s="5">
        <f t="shared" ref="F147:F148" si="116">IF(D$12=0,0,D147/D$12)</f>
        <v>1.0219700584219333E-2</v>
      </c>
      <c r="G147" s="1"/>
      <c r="H147" s="1">
        <f>SUM(OSRRefH22_25x_0)</f>
        <v>6120</v>
      </c>
      <c r="I147" s="1"/>
      <c r="J147" s="5">
        <f t="shared" ref="J147:J148" si="117">IF(H$12=0,0,H147/H$12)</f>
        <v>7.1152862391294239E-3</v>
      </c>
      <c r="K147" s="1"/>
      <c r="L147" s="1">
        <f t="shared" ref="L147:L148" si="118">+D147-H147</f>
        <v>17.600000000000364</v>
      </c>
      <c r="M147" s="1"/>
      <c r="N147" s="5">
        <f t="shared" ref="N147:N148" si="119">IF(H147=0,0,L147/H147)</f>
        <v>2.8758169934641115E-3</v>
      </c>
      <c r="O147" s="14"/>
      <c r="P147" s="1">
        <f>SUM(OSRRefP22_25x_0)</f>
        <v>18411.38</v>
      </c>
      <c r="Q147" s="1"/>
      <c r="R147" s="5">
        <f t="shared" ref="R147:R148" si="120">IF(P$12=0,0,P147/P$12)</f>
        <v>7.8663517712822661E-3</v>
      </c>
      <c r="S147" s="1"/>
      <c r="T147" s="1">
        <f>SUM(OSRRefT22_25x_0)</f>
        <v>18360</v>
      </c>
      <c r="U147" s="1"/>
      <c r="V147" s="5">
        <f t="shared" ref="V147:V148" si="121">IF(T$12=0,0,T147/T$12)</f>
        <v>4.6550437627357662E-3</v>
      </c>
      <c r="W147" s="1"/>
      <c r="X147" s="1">
        <f t="shared" ref="X147:X148" si="122">+P147-T147</f>
        <v>51.380000000001019</v>
      </c>
      <c r="Y147" s="1"/>
      <c r="Z147" s="5">
        <f t="shared" ref="Z147:Z148" si="123">IF(T147=0,0,X147/T147)</f>
        <v>2.7984749455338244E-3</v>
      </c>
    </row>
    <row r="148" spans="1:26" s="24" customFormat="1" hidden="1" outlineLevel="2" x14ac:dyDescent="0.25">
      <c r="A148" s="29"/>
      <c r="B148" s="11" t="str">
        <f>CONCATENATE("          ", "6274", " - ", "UTILITIES")</f>
        <v xml:space="preserve">          6274 - UTILITIES</v>
      </c>
      <c r="C148" s="11"/>
      <c r="D148" s="7">
        <v>6137.6</v>
      </c>
      <c r="E148" s="2"/>
      <c r="F148" s="6">
        <f t="shared" si="116"/>
        <v>1.0219700584219333E-2</v>
      </c>
      <c r="G148" s="2"/>
      <c r="H148" s="7">
        <v>6120</v>
      </c>
      <c r="I148" s="2"/>
      <c r="J148" s="6">
        <f t="shared" si="117"/>
        <v>7.1152862391294239E-3</v>
      </c>
      <c r="K148" s="2"/>
      <c r="L148" s="7">
        <f t="shared" si="118"/>
        <v>17.600000000000364</v>
      </c>
      <c r="M148" s="2"/>
      <c r="N148" s="6">
        <f t="shared" si="119"/>
        <v>2.8758169934641115E-3</v>
      </c>
      <c r="O148" s="11"/>
      <c r="P148" s="7">
        <v>18411.38</v>
      </c>
      <c r="Q148" s="2"/>
      <c r="R148" s="6">
        <f t="shared" si="120"/>
        <v>7.8663517712822661E-3</v>
      </c>
      <c r="S148" s="2"/>
      <c r="T148" s="7">
        <v>18360</v>
      </c>
      <c r="U148" s="2"/>
      <c r="V148" s="6">
        <f t="shared" si="121"/>
        <v>4.6550437627357662E-3</v>
      </c>
      <c r="W148" s="2"/>
      <c r="X148" s="7">
        <f t="shared" si="122"/>
        <v>51.380000000001019</v>
      </c>
      <c r="Y148" s="2"/>
      <c r="Z148" s="6">
        <f t="shared" si="123"/>
        <v>2.7984749455338244E-3</v>
      </c>
    </row>
    <row r="149" spans="1:26" s="58" customFormat="1" x14ac:dyDescent="0.25">
      <c r="A149" s="36"/>
      <c r="B149" s="36"/>
      <c r="C149" s="36"/>
      <c r="D149" s="1"/>
      <c r="E149" s="1"/>
      <c r="F149" s="5"/>
      <c r="G149" s="1"/>
      <c r="H149" s="1"/>
      <c r="I149" s="1"/>
      <c r="J149" s="5"/>
      <c r="K149" s="1"/>
      <c r="L149" s="1"/>
      <c r="M149" s="1"/>
      <c r="N149" s="5"/>
      <c r="O149" s="36"/>
      <c r="P149" s="1"/>
      <c r="Q149" s="1"/>
      <c r="R149" s="5"/>
      <c r="S149" s="1"/>
      <c r="T149" s="1"/>
      <c r="U149" s="1"/>
      <c r="V149" s="5"/>
      <c r="W149" s="1"/>
      <c r="X149" s="1"/>
      <c r="Y149" s="1"/>
      <c r="Z149" s="5"/>
    </row>
    <row r="150" spans="1:26" s="23" customFormat="1" collapsed="1" x14ac:dyDescent="0.25">
      <c r="A150" s="10"/>
      <c r="B150" s="26" t="s">
        <v>293</v>
      </c>
      <c r="C150" s="10"/>
      <c r="D150" s="4">
        <f>SUM(OSRRefD25x_0)</f>
        <v>178854.33999999997</v>
      </c>
      <c r="E150" s="4"/>
      <c r="F150" s="12">
        <f t="shared" ref="F150:F155" si="124">IF(D$12=0,0,D150/D$12)</f>
        <v>0.29780986101866569</v>
      </c>
      <c r="G150" s="4"/>
      <c r="H150" s="4">
        <f>SUM(OSRRefH25x_0)</f>
        <v>181128.5</v>
      </c>
      <c r="I150" s="4"/>
      <c r="J150" s="12">
        <f t="shared" ref="J150:J155" si="125">IF(H$12=0,0,H150/H$12)</f>
        <v>0.21058515090917546</v>
      </c>
      <c r="K150" s="4"/>
      <c r="L150" s="4">
        <f t="shared" ref="L150:L155" si="126">+D150-H150</f>
        <v>-2274.1600000000326</v>
      </c>
      <c r="M150" s="4"/>
      <c r="N150" s="12">
        <f t="shared" ref="N150:N155" si="127">IF(H150=0,0,L150/H150)</f>
        <v>-1.2555506173793923E-2</v>
      </c>
      <c r="O150" s="10"/>
      <c r="P150" s="4">
        <f>SUM(OSRRefP25x_0)</f>
        <v>362851.27999999997</v>
      </c>
      <c r="Q150" s="4"/>
      <c r="R150" s="12">
        <f t="shared" ref="R150:R155" si="128">IF(P$12=0,0,P150/P$12)</f>
        <v>0.15502997652213127</v>
      </c>
      <c r="S150" s="4"/>
      <c r="T150" s="4">
        <f>SUM(OSRRefT25x_0)</f>
        <v>255996.5</v>
      </c>
      <c r="U150" s="4"/>
      <c r="V150" s="12">
        <f t="shared" ref="V150:V155" si="129">IF(T$12=0,0,T150/T$12)</f>
        <v>6.4906040882744362E-2</v>
      </c>
      <c r="W150" s="4"/>
      <c r="X150" s="4">
        <f t="shared" ref="X150:X155" si="130">+P150-T150</f>
        <v>106854.77999999997</v>
      </c>
      <c r="Y150" s="4"/>
      <c r="Z150" s="12">
        <f t="shared" ref="Z150:Z155" si="131">IF(T150=0,0,X150/T150)</f>
        <v>0.41740719111394087</v>
      </c>
    </row>
    <row r="151" spans="1:26" s="24" customFormat="1" hidden="1" outlineLevel="1" x14ac:dyDescent="0.25">
      <c r="A151" s="44"/>
      <c r="B151" s="11" t="str">
        <f>CONCATENATE("          ", "9150", " - ", "MISC. INCOME")</f>
        <v xml:space="preserve">          9150 - MISC. INCOME</v>
      </c>
      <c r="C151" s="11"/>
      <c r="D151" s="2">
        <f>--21320.96</f>
        <v>21320.959999999999</v>
      </c>
      <c r="E151" s="2"/>
      <c r="F151" s="19">
        <f t="shared" si="124"/>
        <v>3.5501470830311035E-2</v>
      </c>
      <c r="G151" s="2"/>
      <c r="H151" s="2">
        <v>19148</v>
      </c>
      <c r="I151" s="2"/>
      <c r="J151" s="19">
        <f t="shared" si="125"/>
        <v>2.2262009952099707E-2</v>
      </c>
      <c r="K151" s="2"/>
      <c r="L151" s="2">
        <f t="shared" si="126"/>
        <v>2172.9599999999991</v>
      </c>
      <c r="M151" s="2"/>
      <c r="N151" s="19">
        <f t="shared" si="127"/>
        <v>0.11348234802590344</v>
      </c>
      <c r="O151" s="11"/>
      <c r="P151" s="2">
        <f>--129438.57</f>
        <v>129438.57</v>
      </c>
      <c r="Q151" s="2"/>
      <c r="R151" s="19">
        <f t="shared" si="128"/>
        <v>5.5303259418454438E-2</v>
      </c>
      <c r="S151" s="2"/>
      <c r="T151" s="2">
        <v>51016</v>
      </c>
      <c r="U151" s="2"/>
      <c r="V151" s="19">
        <f t="shared" si="129"/>
        <v>1.2934733801728096E-2</v>
      </c>
      <c r="W151" s="2"/>
      <c r="X151" s="2">
        <f t="shared" si="130"/>
        <v>78422.570000000007</v>
      </c>
      <c r="Y151" s="2"/>
      <c r="Z151" s="19">
        <f t="shared" si="131"/>
        <v>1.5372151873921909</v>
      </c>
    </row>
    <row r="152" spans="1:26" s="24" customFormat="1" hidden="1" outlineLevel="1" x14ac:dyDescent="0.25">
      <c r="A152" s="44"/>
      <c r="B152" s="11" t="str">
        <f>CONCATENATE("          ", "9151", " - ", "MISC. INCOME")</f>
        <v xml:space="preserve">          9151 - MISC. INCOME</v>
      </c>
      <c r="C152" s="11"/>
      <c r="D152" s="2">
        <f>--156907</f>
        <v>156907</v>
      </c>
      <c r="E152" s="2"/>
      <c r="F152" s="19">
        <f t="shared" si="124"/>
        <v>0.26126540660324926</v>
      </c>
      <c r="G152" s="2"/>
      <c r="H152" s="2">
        <v>161980.5</v>
      </c>
      <c r="I152" s="2"/>
      <c r="J152" s="19">
        <f t="shared" si="125"/>
        <v>0.18832314095707575</v>
      </c>
      <c r="K152" s="2"/>
      <c r="L152" s="2">
        <f t="shared" si="126"/>
        <v>-5073.5</v>
      </c>
      <c r="M152" s="2"/>
      <c r="N152" s="19">
        <f t="shared" si="127"/>
        <v>-3.1321671435759244E-2</v>
      </c>
      <c r="O152" s="11"/>
      <c r="P152" s="2">
        <f>--168463.36</f>
        <v>168463.35999999999</v>
      </c>
      <c r="Q152" s="2"/>
      <c r="R152" s="19">
        <f t="shared" si="128"/>
        <v>7.1976791002747315E-2</v>
      </c>
      <c r="S152" s="2"/>
      <c r="T152" s="2">
        <v>204980.5</v>
      </c>
      <c r="U152" s="2"/>
      <c r="V152" s="19">
        <f t="shared" si="129"/>
        <v>5.1971307081016271E-2</v>
      </c>
      <c r="W152" s="2"/>
      <c r="X152" s="2">
        <f t="shared" si="130"/>
        <v>-36517.140000000014</v>
      </c>
      <c r="Y152" s="2"/>
      <c r="Z152" s="19">
        <f t="shared" si="131"/>
        <v>-0.17814933615636616</v>
      </c>
    </row>
    <row r="153" spans="1:26" s="24" customFormat="1" hidden="1" outlineLevel="1" x14ac:dyDescent="0.25">
      <c r="A153" s="44"/>
      <c r="B153" s="11" t="str">
        <f>CONCATENATE("          ", "9152", " - ", "MISC. INCOME")</f>
        <v xml:space="preserve">          9152 - MISC. INCOME</v>
      </c>
      <c r="C153" s="11"/>
      <c r="D153" s="2">
        <f>--935.08</f>
        <v>935.08</v>
      </c>
      <c r="E153" s="2"/>
      <c r="F153" s="19">
        <f t="shared" si="124"/>
        <v>1.5569990912232491E-3</v>
      </c>
      <c r="G153" s="2"/>
      <c r="H153" s="2"/>
      <c r="I153" s="2"/>
      <c r="J153" s="19">
        <f t="shared" si="125"/>
        <v>0</v>
      </c>
      <c r="K153" s="2"/>
      <c r="L153" s="2">
        <f t="shared" si="126"/>
        <v>935.08</v>
      </c>
      <c r="M153" s="2"/>
      <c r="N153" s="19">
        <f t="shared" si="127"/>
        <v>0</v>
      </c>
      <c r="O153" s="11"/>
      <c r="P153" s="2">
        <f>--1938.11</f>
        <v>1938.11</v>
      </c>
      <c r="Q153" s="2"/>
      <c r="R153" s="19">
        <f t="shared" si="128"/>
        <v>8.2806693639693885E-4</v>
      </c>
      <c r="S153" s="2"/>
      <c r="T153" s="2"/>
      <c r="U153" s="2"/>
      <c r="V153" s="19">
        <f t="shared" si="129"/>
        <v>0</v>
      </c>
      <c r="W153" s="2"/>
      <c r="X153" s="2">
        <f t="shared" si="130"/>
        <v>1938.11</v>
      </c>
      <c r="Y153" s="2"/>
      <c r="Z153" s="19">
        <f t="shared" si="131"/>
        <v>0</v>
      </c>
    </row>
    <row r="154" spans="1:26" s="24" customFormat="1" hidden="1" outlineLevel="1" x14ac:dyDescent="0.25">
      <c r="A154" s="44"/>
      <c r="B154" s="11" t="str">
        <f>CONCATENATE("          ", "9160", " - ", "MISC. INCOME")</f>
        <v xml:space="preserve">          9160 - MISC. INCOME</v>
      </c>
      <c r="C154" s="11"/>
      <c r="D154" s="2">
        <f>0</f>
        <v>0</v>
      </c>
      <c r="E154" s="2"/>
      <c r="F154" s="19">
        <f t="shared" si="124"/>
        <v>0</v>
      </c>
      <c r="G154" s="2"/>
      <c r="H154" s="2">
        <v>0</v>
      </c>
      <c r="I154" s="2"/>
      <c r="J154" s="19">
        <f t="shared" si="125"/>
        <v>0</v>
      </c>
      <c r="K154" s="2"/>
      <c r="L154" s="2">
        <f t="shared" si="126"/>
        <v>0</v>
      </c>
      <c r="M154" s="2"/>
      <c r="N154" s="19">
        <f t="shared" si="127"/>
        <v>0</v>
      </c>
      <c r="O154" s="11"/>
      <c r="P154" s="2">
        <f>0</f>
        <v>0</v>
      </c>
      <c r="Q154" s="2"/>
      <c r="R154" s="19">
        <f t="shared" si="128"/>
        <v>0</v>
      </c>
      <c r="S154" s="2"/>
      <c r="T154" s="2">
        <v>0</v>
      </c>
      <c r="U154" s="2"/>
      <c r="V154" s="19">
        <f t="shared" si="129"/>
        <v>0</v>
      </c>
      <c r="W154" s="2"/>
      <c r="X154" s="2">
        <f t="shared" si="130"/>
        <v>0</v>
      </c>
      <c r="Y154" s="2"/>
      <c r="Z154" s="19">
        <f t="shared" si="131"/>
        <v>0</v>
      </c>
    </row>
    <row r="155" spans="1:26" s="24" customFormat="1" hidden="1" outlineLevel="1" x14ac:dyDescent="0.25">
      <c r="A155" s="44"/>
      <c r="B155" s="11" t="str">
        <f>CONCATENATE("          ", "9163", " - ", "MISC. INCOME")</f>
        <v xml:space="preserve">          9163 - MISC. INCOME</v>
      </c>
      <c r="C155" s="11"/>
      <c r="D155" s="2">
        <f>-308.7</f>
        <v>-308.7</v>
      </c>
      <c r="E155" s="2"/>
      <c r="F155" s="19">
        <f t="shared" si="124"/>
        <v>-5.1401550611778347E-4</v>
      </c>
      <c r="G155" s="2"/>
      <c r="H155" s="2"/>
      <c r="I155" s="2"/>
      <c r="J155" s="19">
        <f t="shared" si="125"/>
        <v>0</v>
      </c>
      <c r="K155" s="2"/>
      <c r="L155" s="2">
        <f t="shared" si="126"/>
        <v>-308.7</v>
      </c>
      <c r="M155" s="2"/>
      <c r="N155" s="19">
        <f t="shared" si="127"/>
        <v>0</v>
      </c>
      <c r="O155" s="11"/>
      <c r="P155" s="2">
        <f>--63011.24</f>
        <v>63011.24</v>
      </c>
      <c r="Q155" s="2"/>
      <c r="R155" s="19">
        <f t="shared" si="128"/>
        <v>2.6921859164532585E-2</v>
      </c>
      <c r="S155" s="2"/>
      <c r="T155" s="2"/>
      <c r="U155" s="2"/>
      <c r="V155" s="19">
        <f t="shared" si="129"/>
        <v>0</v>
      </c>
      <c r="W155" s="2"/>
      <c r="X155" s="2">
        <f t="shared" si="130"/>
        <v>63011.24</v>
      </c>
      <c r="Y155" s="2"/>
      <c r="Z155" s="19">
        <f t="shared" si="131"/>
        <v>0</v>
      </c>
    </row>
    <row r="156" spans="1:26" x14ac:dyDescent="0.25">
      <c r="A156" s="9"/>
      <c r="B156" s="10"/>
      <c r="C156" s="10"/>
      <c r="D156" s="3"/>
      <c r="E156" s="3"/>
      <c r="F156" s="8"/>
      <c r="G156" s="3"/>
      <c r="H156" s="3"/>
      <c r="I156" s="3"/>
      <c r="J156" s="8"/>
      <c r="K156" s="3"/>
      <c r="L156" s="3"/>
      <c r="M156" s="3"/>
      <c r="N156" s="8"/>
      <c r="O156" s="10"/>
      <c r="P156" s="3"/>
      <c r="Q156" s="3"/>
      <c r="R156" s="8"/>
      <c r="S156" s="3"/>
      <c r="T156" s="3"/>
      <c r="U156" s="3"/>
      <c r="V156" s="8"/>
      <c r="W156" s="3"/>
      <c r="X156" s="3"/>
      <c r="Y156" s="3"/>
      <c r="Z156" s="8"/>
    </row>
    <row r="157" spans="1:26" s="23" customFormat="1" x14ac:dyDescent="0.25">
      <c r="A157" s="10"/>
      <c r="B157" s="25" t="s">
        <v>277</v>
      </c>
      <c r="C157" s="25"/>
      <c r="D157" s="21">
        <f>+D53-D55+D150</f>
        <v>75802.290000000328</v>
      </c>
      <c r="E157" s="13"/>
      <c r="F157" s="20">
        <f>IF(D$12=0,0,D157/D$12)</f>
        <v>0.12621818094990983</v>
      </c>
      <c r="G157" s="13"/>
      <c r="H157" s="21">
        <f>+H53-H55+H150</f>
        <v>162981.16012077953</v>
      </c>
      <c r="I157" s="13"/>
      <c r="J157" s="20">
        <f>IF(H$12=0,0,H157/H$12)</f>
        <v>0.18948653690273395</v>
      </c>
      <c r="K157" s="16"/>
      <c r="L157" s="21">
        <f>+D157-H157</f>
        <v>-87178.870120779204</v>
      </c>
      <c r="M157" s="16"/>
      <c r="N157" s="20">
        <f>IF(H157=0,0,L157/H157)</f>
        <v>-0.53490151902326655</v>
      </c>
      <c r="O157" s="26"/>
      <c r="P157" s="21">
        <f>+P53-P55+P150</f>
        <v>133346.9199999994</v>
      </c>
      <c r="Q157" s="13"/>
      <c r="R157" s="20">
        <f>IF(P$12=0,0,P157/P$12)</f>
        <v>5.6973120990226146E-2</v>
      </c>
      <c r="S157" s="13"/>
      <c r="T157" s="21">
        <f>+T53-T55+T150</f>
        <v>444244.21665984136</v>
      </c>
      <c r="U157" s="13"/>
      <c r="V157" s="20">
        <f>IF(T$12=0,0,T157/T$12)</f>
        <v>0.11263487308789928</v>
      </c>
      <c r="W157" s="16"/>
      <c r="X157" s="21">
        <f>+P157-T157</f>
        <v>-310897.29665984196</v>
      </c>
      <c r="Y157" s="16"/>
      <c r="Z157" s="20">
        <f>IF(T157=0,0,X157/T157)</f>
        <v>-0.69983420155111797</v>
      </c>
    </row>
    <row r="158" spans="1:26" x14ac:dyDescent="0.25">
      <c r="A158" s="9"/>
      <c r="B158" s="10"/>
      <c r="C158" s="9"/>
      <c r="D158" s="3"/>
      <c r="E158" s="3"/>
      <c r="F158" s="8"/>
      <c r="G158" s="3"/>
      <c r="H158" s="3"/>
      <c r="I158" s="3"/>
      <c r="J158" s="8"/>
      <c r="K158" s="3"/>
      <c r="L158" s="3"/>
      <c r="M158" s="3"/>
      <c r="N158" s="8"/>
      <c r="P158" s="3"/>
      <c r="Q158" s="3"/>
      <c r="R158" s="8"/>
      <c r="S158" s="3"/>
      <c r="T158" s="3"/>
      <c r="U158" s="3"/>
      <c r="V158" s="8"/>
      <c r="W158" s="3"/>
      <c r="X158" s="3"/>
      <c r="Y158" s="3"/>
      <c r="Z158" s="8"/>
    </row>
    <row r="159" spans="1:26" s="23" customFormat="1" x14ac:dyDescent="0.25">
      <c r="A159" s="52"/>
      <c r="B159" s="10" t="s">
        <v>128</v>
      </c>
      <c r="C159" s="10"/>
      <c r="D159" s="4">
        <v>29692.560000000001</v>
      </c>
      <c r="E159" s="4"/>
      <c r="F159" s="12">
        <f>IF(D$12=0,0,D159/D$12)</f>
        <v>4.944099856278799E-2</v>
      </c>
      <c r="G159" s="4"/>
      <c r="H159" s="4">
        <v>82881</v>
      </c>
      <c r="I159" s="4"/>
      <c r="J159" s="12">
        <f>IF(H$12=0,0,H159/H$12)</f>
        <v>9.6359810259033618E-2</v>
      </c>
      <c r="K159" s="4"/>
      <c r="L159" s="4">
        <f>+D159-H159</f>
        <v>-53188.44</v>
      </c>
      <c r="M159" s="4"/>
      <c r="N159" s="12">
        <f>IF(H159=0,0,L159/H159)</f>
        <v>-0.64174467006913527</v>
      </c>
      <c r="O159" s="10"/>
      <c r="P159" s="4">
        <v>289699.75</v>
      </c>
      <c r="Q159" s="4"/>
      <c r="R159" s="12">
        <f>IF(P$12=0,0,P159/P$12)</f>
        <v>0.1237756290703103</v>
      </c>
      <c r="S159" s="4"/>
      <c r="T159" s="4">
        <v>428269</v>
      </c>
      <c r="U159" s="4"/>
      <c r="V159" s="12">
        <f>IF(T$12=0,0,T159/T$12)</f>
        <v>0.10858447370496099</v>
      </c>
      <c r="W159" s="4"/>
      <c r="X159" s="4">
        <f>+P159-T159</f>
        <v>-138569.25</v>
      </c>
      <c r="Y159" s="4"/>
      <c r="Z159" s="12">
        <f>IF(T159=0,0,X159/T159)</f>
        <v>-0.3235565730884094</v>
      </c>
    </row>
    <row r="160" spans="1:26" x14ac:dyDescent="0.25">
      <c r="A160" s="9"/>
      <c r="B160" s="10"/>
      <c r="C160" s="10"/>
      <c r="D160" s="3"/>
      <c r="E160" s="3"/>
      <c r="F160" s="8"/>
      <c r="G160" s="3"/>
      <c r="H160" s="3"/>
      <c r="I160" s="3"/>
      <c r="J160" s="8"/>
      <c r="K160" s="3"/>
      <c r="L160" s="3"/>
      <c r="M160" s="3"/>
      <c r="N160" s="8"/>
      <c r="O160" s="10"/>
      <c r="P160" s="3"/>
      <c r="Q160" s="3"/>
      <c r="R160" s="8"/>
      <c r="S160" s="3"/>
      <c r="T160" s="3"/>
      <c r="U160" s="3"/>
      <c r="V160" s="8"/>
      <c r="W160" s="3"/>
      <c r="X160" s="3"/>
      <c r="Y160" s="3"/>
      <c r="Z160" s="8"/>
    </row>
    <row r="161" spans="1:26" s="23" customFormat="1" ht="15.75" thickBot="1" x14ac:dyDescent="0.3">
      <c r="A161" s="10"/>
      <c r="B161" s="25" t="s">
        <v>126</v>
      </c>
      <c r="C161" s="25"/>
      <c r="D161" s="33">
        <f>+D157-D159</f>
        <v>46109.730000000331</v>
      </c>
      <c r="E161" s="13"/>
      <c r="F161" s="31">
        <f>IF(D$12=0,0,D161/D$12)</f>
        <v>7.6777182387121848E-2</v>
      </c>
      <c r="G161" s="13"/>
      <c r="H161" s="33">
        <f>+H157-H159</f>
        <v>80100.160120779532</v>
      </c>
      <c r="I161" s="13"/>
      <c r="J161" s="31">
        <f>IF(H$12=0,0,H161/H$12)</f>
        <v>9.3126726643700336E-2</v>
      </c>
      <c r="K161" s="16"/>
      <c r="L161" s="33">
        <f>D161-H161</f>
        <v>-33990.430120779201</v>
      </c>
      <c r="M161" s="16"/>
      <c r="N161" s="31">
        <f>IF(H161=0,0,L161/H161)</f>
        <v>-0.42434909080739058</v>
      </c>
      <c r="O161" s="26"/>
      <c r="P161" s="33">
        <f>+P157-P159</f>
        <v>-156352.8300000006</v>
      </c>
      <c r="Q161" s="13"/>
      <c r="R161" s="31">
        <f>IF(P$12=0,0,P161/P$12)</f>
        <v>-6.6802508080084144E-2</v>
      </c>
      <c r="S161" s="13"/>
      <c r="T161" s="33">
        <f>+T157-T159</f>
        <v>15975.216659841361</v>
      </c>
      <c r="U161" s="13"/>
      <c r="V161" s="31">
        <f>IF(T$12=0,0,T161/T$12)</f>
        <v>4.050399382938291E-3</v>
      </c>
      <c r="W161" s="16"/>
      <c r="X161" s="33">
        <f>P161-T161</f>
        <v>-172328.04665984196</v>
      </c>
      <c r="Y161" s="16"/>
      <c r="Z161" s="31">
        <f>IF(T161=0,0,X161/T161)</f>
        <v>-10.787211862549677</v>
      </c>
    </row>
    <row r="162" spans="1:26" ht="15.75" thickTop="1" x14ac:dyDescent="0.25">
      <c r="A162" s="9"/>
      <c r="B162" s="9"/>
      <c r="C162" s="9"/>
      <c r="D162" s="3"/>
      <c r="E162" s="3"/>
      <c r="F162" s="8"/>
      <c r="G162" s="3"/>
      <c r="H162" s="3"/>
      <c r="I162" s="3"/>
      <c r="J162" s="8"/>
      <c r="K162" s="3"/>
      <c r="L162" s="3"/>
      <c r="M162" s="3"/>
      <c r="N162" s="8"/>
      <c r="P162" s="3"/>
      <c r="Q162" s="3"/>
      <c r="R162" s="8"/>
      <c r="S162" s="3"/>
      <c r="T162" s="3"/>
      <c r="U162" s="3"/>
      <c r="V162" s="8"/>
      <c r="W162" s="3"/>
      <c r="X162" s="3"/>
      <c r="Y162" s="3"/>
      <c r="Z162" s="8"/>
    </row>
    <row r="163" spans="1:26" x14ac:dyDescent="0.25">
      <c r="A163" s="9"/>
      <c r="B163" s="9"/>
      <c r="C163" s="9"/>
      <c r="D163" s="3"/>
      <c r="E163" s="3"/>
      <c r="F163" s="8"/>
      <c r="G163" s="3"/>
      <c r="H163" s="3"/>
      <c r="I163" s="3"/>
      <c r="J163" s="8"/>
      <c r="K163" s="3"/>
      <c r="L163" s="3"/>
      <c r="M163" s="3"/>
      <c r="N163" s="8"/>
      <c r="P163" s="3"/>
      <c r="Q163" s="3"/>
      <c r="R163" s="8"/>
      <c r="S163" s="3"/>
      <c r="T163" s="3"/>
      <c r="U163" s="3"/>
      <c r="V163" s="8"/>
      <c r="W163" s="3"/>
      <c r="X163" s="3"/>
      <c r="Y163" s="3"/>
      <c r="Z163" s="8"/>
    </row>
    <row r="164" spans="1:26" s="23" customFormat="1" ht="15.75" thickBot="1" x14ac:dyDescent="0.3">
      <c r="A164" s="10"/>
      <c r="B164" s="25" t="s">
        <v>294</v>
      </c>
      <c r="C164" s="25"/>
      <c r="D164" s="35">
        <f>SUM(D161:D163)</f>
        <v>46109.730000000331</v>
      </c>
      <c r="E164" s="13"/>
      <c r="F164" s="34">
        <f>IF(D$12=0,0,D164/D$12)</f>
        <v>7.6777182387121848E-2</v>
      </c>
      <c r="G164" s="13"/>
      <c r="H164" s="35">
        <f>SUM(H161:H163)</f>
        <v>80100.160120779532</v>
      </c>
      <c r="I164" s="13"/>
      <c r="J164" s="34">
        <f>IF(H$12=0,0,H164/H$12)</f>
        <v>9.3126726643700336E-2</v>
      </c>
      <c r="K164" s="16"/>
      <c r="L164" s="35">
        <f>+D164-H164</f>
        <v>-33990.430120779201</v>
      </c>
      <c r="M164" s="16"/>
      <c r="N164" s="34">
        <f>IF(H164=0,0,L164/H164)</f>
        <v>-0.42434909080739058</v>
      </c>
      <c r="O164" s="26"/>
      <c r="P164" s="35">
        <f>SUM(P161:P163)</f>
        <v>-156352.8300000006</v>
      </c>
      <c r="Q164" s="13"/>
      <c r="R164" s="34">
        <f>IF(P$12=0,0,P164/P$12)</f>
        <v>-6.6802508080084144E-2</v>
      </c>
      <c r="S164" s="13"/>
      <c r="T164" s="35">
        <f>SUM(T161:T163)</f>
        <v>15975.216659841361</v>
      </c>
      <c r="U164" s="13"/>
      <c r="V164" s="34">
        <f>IF(T$12=0,0,T164/T$12)</f>
        <v>4.050399382938291E-3</v>
      </c>
      <c r="W164" s="16"/>
      <c r="X164" s="35">
        <f>+P164-T164</f>
        <v>-172328.04665984196</v>
      </c>
      <c r="Y164" s="16"/>
      <c r="Z164" s="34">
        <f>IF(T164=0,0,X164/T164)</f>
        <v>-10.787211862549677</v>
      </c>
    </row>
    <row r="165" spans="1:26" ht="15.75" thickTop="1" x14ac:dyDescent="0.25">
      <c r="A165" s="9"/>
      <c r="C165" s="9"/>
      <c r="D165" s="18"/>
      <c r="E165" s="18"/>
      <c r="G165" s="18"/>
      <c r="H165" s="18"/>
      <c r="I165" s="18"/>
      <c r="J165" s="43"/>
      <c r="K165" s="18"/>
      <c r="L165" s="18"/>
      <c r="M165" s="18"/>
      <c r="P165" s="18"/>
      <c r="Q165" s="18"/>
      <c r="R165" s="43"/>
      <c r="S165" s="18"/>
      <c r="T165" s="18"/>
      <c r="U165" s="18"/>
      <c r="V165" s="43"/>
      <c r="W165" s="18"/>
      <c r="X165" s="18"/>
    </row>
    <row r="166" spans="1:26" x14ac:dyDescent="0.25">
      <c r="A166" s="9"/>
      <c r="B166" s="61">
        <v>44481.978944409719</v>
      </c>
      <c r="D166" s="18"/>
      <c r="E166" s="18"/>
      <c r="G166" s="18"/>
      <c r="H166" s="18"/>
      <c r="I166" s="18"/>
      <c r="J166" s="43"/>
      <c r="K166" s="18"/>
      <c r="L166" s="18"/>
      <c r="M166" s="18"/>
      <c r="P166" s="18"/>
      <c r="Q166" s="18"/>
      <c r="R166" s="43"/>
      <c r="S166" s="18"/>
      <c r="T166" s="18"/>
      <c r="U166" s="18"/>
      <c r="V166" s="43"/>
      <c r="W166" s="18"/>
      <c r="X166" s="18"/>
    </row>
    <row r="167" spans="1:26" x14ac:dyDescent="0.25">
      <c r="A167" s="9"/>
      <c r="B167" s="56" t="s">
        <v>56</v>
      </c>
      <c r="D167" s="18"/>
      <c r="E167" s="18"/>
      <c r="G167" s="18"/>
      <c r="H167" s="18"/>
      <c r="I167" s="18"/>
      <c r="J167" s="43"/>
      <c r="K167" s="18"/>
      <c r="L167" s="18"/>
      <c r="M167" s="18"/>
      <c r="P167" s="18"/>
      <c r="Q167" s="18"/>
      <c r="R167" s="43"/>
      <c r="S167" s="18"/>
      <c r="T167" s="18"/>
      <c r="U167" s="18"/>
      <c r="V167" s="43"/>
      <c r="W167" s="18"/>
      <c r="X167" s="18"/>
    </row>
    <row r="168" spans="1:26" x14ac:dyDescent="0.25">
      <c r="A168" s="9"/>
      <c r="B168" s="54"/>
      <c r="D168" s="18"/>
      <c r="E168" s="18"/>
      <c r="G168" s="18"/>
      <c r="H168" s="18"/>
      <c r="I168" s="18"/>
      <c r="J168" s="43"/>
      <c r="K168" s="18"/>
      <c r="L168" s="18"/>
      <c r="M168" s="18"/>
      <c r="P168" s="18"/>
      <c r="Q168" s="18"/>
      <c r="R168" s="43"/>
      <c r="S168" s="18"/>
      <c r="T168" s="18"/>
      <c r="U168" s="18"/>
      <c r="V168" s="43"/>
      <c r="W168" s="18"/>
      <c r="X168" s="18"/>
    </row>
    <row r="169" spans="1:26" x14ac:dyDescent="0.25">
      <c r="D169" s="18"/>
      <c r="E169" s="18"/>
      <c r="G169" s="18"/>
      <c r="H169" s="18"/>
      <c r="I169" s="18"/>
      <c r="J169" s="43"/>
      <c r="K169" s="18"/>
      <c r="L169" s="18"/>
      <c r="M169" s="18"/>
      <c r="P169" s="18"/>
      <c r="Q169" s="18"/>
      <c r="R169" s="43"/>
      <c r="S169" s="18"/>
      <c r="T169" s="18"/>
      <c r="U169" s="18"/>
      <c r="V169" s="43"/>
      <c r="W169" s="18"/>
      <c r="X169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outlinePr summaryBelow="0" summaryRight="0"/>
  </sheetPr>
  <dimension ref="A2:Z16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256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584452.64000000013</v>
      </c>
      <c r="E12" s="4"/>
      <c r="F12" s="12"/>
      <c r="G12" s="4"/>
      <c r="H12" s="4">
        <f>SUM(OSRRefH13x_0)</f>
        <v>818619</v>
      </c>
      <c r="I12" s="4"/>
      <c r="J12" s="12"/>
      <c r="K12" s="4"/>
      <c r="L12" s="4">
        <f t="shared" ref="L12:L18" si="0">+D12-H12</f>
        <v>-234166.35999999987</v>
      </c>
      <c r="M12" s="4"/>
      <c r="N12" s="12">
        <f t="shared" ref="N12:N18" si="1">IF(H12=0,0,L12/H12)</f>
        <v>-0.28605048258102961</v>
      </c>
      <c r="O12" s="10"/>
      <c r="P12" s="4">
        <f>SUM(OSRRefP13x_0)</f>
        <v>2317745.3099999996</v>
      </c>
      <c r="Q12" s="4"/>
      <c r="R12" s="12"/>
      <c r="S12" s="4"/>
      <c r="T12" s="4">
        <f>SUM(OSRRefT13x_0)</f>
        <v>3890094</v>
      </c>
      <c r="U12" s="4"/>
      <c r="V12" s="12"/>
      <c r="W12" s="4"/>
      <c r="X12" s="4">
        <f t="shared" ref="X12:X18" si="2">+P12-T12</f>
        <v>-1572348.6900000004</v>
      </c>
      <c r="Y12" s="4"/>
      <c r="Z12" s="12">
        <f t="shared" ref="Z12:Z18" si="3">IF(T12=0,0,X12/T12)</f>
        <v>-0.40419298094082057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--483885.87</f>
        <v>483885.87</v>
      </c>
      <c r="E13" s="2"/>
      <c r="F13" s="19"/>
      <c r="G13" s="2"/>
      <c r="H13" s="2">
        <v>779075</v>
      </c>
      <c r="I13" s="2"/>
      <c r="J13" s="19"/>
      <c r="K13" s="2"/>
      <c r="L13" s="2">
        <f t="shared" si="0"/>
        <v>-295189.13</v>
      </c>
      <c r="M13" s="2"/>
      <c r="N13" s="19">
        <f t="shared" si="1"/>
        <v>-0.37889693546834385</v>
      </c>
      <c r="O13" s="11"/>
      <c r="P13" s="2">
        <f>--1891352.58</f>
        <v>1891352.58</v>
      </c>
      <c r="Q13" s="2"/>
      <c r="R13" s="19"/>
      <c r="S13" s="2"/>
      <c r="T13" s="2">
        <v>3834481</v>
      </c>
      <c r="U13" s="2"/>
      <c r="V13" s="19"/>
      <c r="W13" s="2"/>
      <c r="X13" s="2">
        <f t="shared" si="2"/>
        <v>-1943128.42</v>
      </c>
      <c r="Y13" s="2"/>
      <c r="Z13" s="19">
        <f t="shared" si="3"/>
        <v>-0.50675134913955755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--121098.02</f>
        <v>121098.02</v>
      </c>
      <c r="E14" s="2"/>
      <c r="F14" s="19"/>
      <c r="G14" s="2"/>
      <c r="H14" s="2">
        <v>39544</v>
      </c>
      <c r="I14" s="2"/>
      <c r="J14" s="19"/>
      <c r="K14" s="2"/>
      <c r="L14" s="2">
        <f t="shared" si="0"/>
        <v>81554.02</v>
      </c>
      <c r="M14" s="2"/>
      <c r="N14" s="19">
        <f t="shared" si="1"/>
        <v>2.0623614201901681</v>
      </c>
      <c r="O14" s="11"/>
      <c r="P14" s="2">
        <f>--486998.38</f>
        <v>486998.38</v>
      </c>
      <c r="Q14" s="2"/>
      <c r="R14" s="19"/>
      <c r="S14" s="2"/>
      <c r="T14" s="2">
        <v>55613</v>
      </c>
      <c r="U14" s="2"/>
      <c r="V14" s="19"/>
      <c r="W14" s="2"/>
      <c r="X14" s="2">
        <f t="shared" si="2"/>
        <v>431385.38</v>
      </c>
      <c r="Y14" s="2"/>
      <c r="Z14" s="19">
        <f t="shared" si="3"/>
        <v>7.7569161886609246</v>
      </c>
    </row>
    <row r="15" spans="1:26" s="24" customFormat="1" hidden="1" outlineLevel="1" x14ac:dyDescent="0.25">
      <c r="A15" s="44"/>
      <c r="B15" s="11" t="str">
        <f>CONCATENATE("          ", "4141", " - ", "NON-TAXABLE SALES-LOGO GIFTS")</f>
        <v xml:space="preserve">          4141 - NON-TAXABLE SALES-LOGO GIFTS</v>
      </c>
      <c r="C15" s="11"/>
      <c r="D15" s="2">
        <f>--71.05</f>
        <v>71.05</v>
      </c>
      <c r="E15" s="2"/>
      <c r="F15" s="19"/>
      <c r="G15" s="2"/>
      <c r="H15" s="2"/>
      <c r="I15" s="2"/>
      <c r="J15" s="19"/>
      <c r="K15" s="2"/>
      <c r="L15" s="2">
        <f t="shared" si="0"/>
        <v>71.05</v>
      </c>
      <c r="M15" s="2"/>
      <c r="N15" s="19">
        <f t="shared" si="1"/>
        <v>0</v>
      </c>
      <c r="O15" s="11"/>
      <c r="P15" s="2">
        <f>--460.55</f>
        <v>460.55</v>
      </c>
      <c r="Q15" s="2"/>
      <c r="R15" s="19"/>
      <c r="S15" s="2"/>
      <c r="T15" s="2"/>
      <c r="U15" s="2"/>
      <c r="V15" s="19"/>
      <c r="W15" s="2"/>
      <c r="X15" s="2">
        <f t="shared" si="2"/>
        <v>460.55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"4146", " - ", "NON-TAXABLE SALES-COIN OP MACH")</f>
        <v xml:space="preserve">          4146 - NON-TAXABLE SALES-COIN OP MACH</v>
      </c>
      <c r="C16" s="11"/>
      <c r="D16" s="2">
        <f>--4759.35</f>
        <v>4759.3500000000004</v>
      </c>
      <c r="E16" s="2"/>
      <c r="F16" s="19"/>
      <c r="G16" s="2"/>
      <c r="H16" s="2"/>
      <c r="I16" s="2"/>
      <c r="J16" s="19"/>
      <c r="K16" s="2"/>
      <c r="L16" s="2">
        <f t="shared" si="0"/>
        <v>4759.3500000000004</v>
      </c>
      <c r="M16" s="2"/>
      <c r="N16" s="19">
        <f t="shared" si="1"/>
        <v>0</v>
      </c>
      <c r="O16" s="11"/>
      <c r="P16" s="2">
        <f>--7492.95</f>
        <v>7492.95</v>
      </c>
      <c r="Q16" s="2"/>
      <c r="R16" s="19"/>
      <c r="S16" s="2"/>
      <c r="T16" s="2"/>
      <c r="U16" s="2"/>
      <c r="V16" s="19"/>
      <c r="W16" s="2"/>
      <c r="X16" s="2">
        <f t="shared" si="2"/>
        <v>7492.95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"4200", " - ", "TAXABLE RETURNS")</f>
        <v xml:space="preserve">          4200 - TAXABLE RETURNS</v>
      </c>
      <c r="C17" s="11"/>
      <c r="D17" s="2">
        <f>-22646.07</f>
        <v>-22646.07</v>
      </c>
      <c r="E17" s="2"/>
      <c r="F17" s="19"/>
      <c r="G17" s="2"/>
      <c r="H17" s="2"/>
      <c r="I17" s="2"/>
      <c r="J17" s="19"/>
      <c r="K17" s="2"/>
      <c r="L17" s="2">
        <f t="shared" si="0"/>
        <v>-22646.07</v>
      </c>
      <c r="M17" s="2"/>
      <c r="N17" s="19">
        <f t="shared" si="1"/>
        <v>0</v>
      </c>
      <c r="O17" s="11"/>
      <c r="P17" s="2">
        <f>-48452.91</f>
        <v>-48452.91</v>
      </c>
      <c r="Q17" s="2"/>
      <c r="R17" s="19"/>
      <c r="S17" s="2"/>
      <c r="T17" s="2"/>
      <c r="U17" s="2"/>
      <c r="V17" s="19"/>
      <c r="W17" s="2"/>
      <c r="X17" s="2">
        <f t="shared" si="2"/>
        <v>-48452.91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"4300", " - ", "NON-TAX RETURNS")</f>
        <v xml:space="preserve">          4300 - NON-TAX RETURNS</v>
      </c>
      <c r="C18" s="11"/>
      <c r="D18" s="2">
        <f>-2715.58</f>
        <v>-2715.58</v>
      </c>
      <c r="E18" s="2"/>
      <c r="F18" s="19"/>
      <c r="G18" s="2"/>
      <c r="H18" s="2"/>
      <c r="I18" s="2"/>
      <c r="J18" s="19"/>
      <c r="K18" s="2"/>
      <c r="L18" s="2">
        <f t="shared" si="0"/>
        <v>-2715.58</v>
      </c>
      <c r="M18" s="2"/>
      <c r="N18" s="19">
        <f t="shared" si="1"/>
        <v>0</v>
      </c>
      <c r="O18" s="11"/>
      <c r="P18" s="2">
        <f>-20106.24</f>
        <v>-20106.240000000002</v>
      </c>
      <c r="Q18" s="2"/>
      <c r="R18" s="19"/>
      <c r="S18" s="2"/>
      <c r="T18" s="2"/>
      <c r="U18" s="2"/>
      <c r="V18" s="19"/>
      <c r="W18" s="2"/>
      <c r="X18" s="2">
        <f t="shared" si="2"/>
        <v>-20106.240000000002</v>
      </c>
      <c r="Y18" s="2"/>
      <c r="Z18" s="19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6" t="s">
        <v>257</v>
      </c>
      <c r="C20" s="10"/>
      <c r="D20" s="4">
        <f>SUM(OSRRefD16x_0)</f>
        <v>385312.29</v>
      </c>
      <c r="E20" s="4"/>
      <c r="F20" s="12">
        <f t="shared" ref="F20:F47" si="4">IF(D$12=0,0,D20/D$12)</f>
        <v>0.65927033882505848</v>
      </c>
      <c r="G20" s="4"/>
      <c r="H20" s="4">
        <f>SUM(OSRRefH16x_0)</f>
        <v>502177</v>
      </c>
      <c r="I20" s="4"/>
      <c r="J20" s="12">
        <f t="shared" ref="J20:J47" si="5">IF(H$12=0,0,H20/H$12)</f>
        <v>0.61344410525531412</v>
      </c>
      <c r="K20" s="4"/>
      <c r="L20" s="4">
        <f t="shared" ref="L20:L47" si="6">+D20-H20</f>
        <v>-116864.71000000002</v>
      </c>
      <c r="M20" s="4"/>
      <c r="N20" s="12">
        <f t="shared" ref="N20:N47" si="7">IF(H20=0,0,L20/H20)</f>
        <v>-0.23271617377936468</v>
      </c>
      <c r="O20" s="10"/>
      <c r="P20" s="4">
        <f>SUM(OSRRefP16x_0)</f>
        <v>1505071.7000000002</v>
      </c>
      <c r="Q20" s="4"/>
      <c r="R20" s="12">
        <f t="shared" ref="R20:R47" si="8">IF(P$12=0,0,P20/P$12)</f>
        <v>0.64936889032039524</v>
      </c>
      <c r="S20" s="4"/>
      <c r="T20" s="4">
        <f>SUM(OSRRefT16x_0)</f>
        <v>2561396</v>
      </c>
      <c r="U20" s="4"/>
      <c r="V20" s="12">
        <f t="shared" ref="V20:V47" si="9">IF(T$12=0,0,T20/T$12)</f>
        <v>0.65844064436489191</v>
      </c>
      <c r="W20" s="4"/>
      <c r="X20" s="4">
        <f t="shared" ref="X20:X47" si="10">+P20-T20</f>
        <v>-1056324.2999999998</v>
      </c>
      <c r="Y20" s="4"/>
      <c r="Z20" s="12">
        <f t="shared" ref="Z20:Z47" si="11">IF(T20=0,0,X20/T20)</f>
        <v>-0.41240179183538966</v>
      </c>
    </row>
    <row r="21" spans="1:26" s="24" customFormat="1" hidden="1" outlineLevel="1" x14ac:dyDescent="0.25">
      <c r="A21" s="44"/>
      <c r="B21" s="11" t="str">
        <f>CONCATENATE("          ", "5000", " - ", "PURCHASES @ COST")</f>
        <v xml:space="preserve">          5000 - PURCHASES @ COST</v>
      </c>
      <c r="C21" s="11"/>
      <c r="D21" s="2">
        <v>726303.95</v>
      </c>
      <c r="E21" s="2"/>
      <c r="F21" s="19">
        <f t="shared" si="4"/>
        <v>1.2427079634715994</v>
      </c>
      <c r="G21" s="2"/>
      <c r="H21" s="2">
        <v>502177</v>
      </c>
      <c r="I21" s="2"/>
      <c r="J21" s="19">
        <f t="shared" si="5"/>
        <v>0.61344410525531412</v>
      </c>
      <c r="K21" s="2"/>
      <c r="L21" s="2">
        <f t="shared" si="6"/>
        <v>224126.94999999995</v>
      </c>
      <c r="M21" s="2"/>
      <c r="N21" s="19">
        <f t="shared" si="7"/>
        <v>0.44631066337167963</v>
      </c>
      <c r="O21" s="11"/>
      <c r="P21" s="2">
        <v>1571258.59</v>
      </c>
      <c r="Q21" s="2"/>
      <c r="R21" s="19">
        <f t="shared" si="8"/>
        <v>0.67792547490906163</v>
      </c>
      <c r="S21" s="2"/>
      <c r="T21" s="2">
        <v>2561396</v>
      </c>
      <c r="U21" s="2"/>
      <c r="V21" s="19">
        <f t="shared" si="9"/>
        <v>0.65844064436489191</v>
      </c>
      <c r="W21" s="2"/>
      <c r="X21" s="2">
        <f t="shared" si="10"/>
        <v>-990137.40999999992</v>
      </c>
      <c r="Y21" s="2"/>
      <c r="Z21" s="19">
        <f t="shared" si="11"/>
        <v>-0.38656162889299428</v>
      </c>
    </row>
    <row r="22" spans="1:26" s="24" customFormat="1" hidden="1" outlineLevel="1" x14ac:dyDescent="0.25">
      <c r="A22" s="44"/>
      <c r="B22" s="11" t="str">
        <f>CONCATENATE("          ", "5001", " - ", "PURCHASES @ COST-NEW TEXT")</f>
        <v xml:space="preserve">          5001 - PURCHASES @ COST-NEW TEXT</v>
      </c>
      <c r="C22" s="11"/>
      <c r="D22" s="2">
        <v>0</v>
      </c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"5002", " - ", "PURCHASES @ COST-USED TEXT")</f>
        <v xml:space="preserve">          5002 - PURCHASES @ COST-USED TEXT</v>
      </c>
      <c r="C23" s="11"/>
      <c r="D23" s="2">
        <v>0</v>
      </c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25">
      <c r="A24" s="44"/>
      <c r="B24" s="11" t="str">
        <f>CONCATENATE("          ", "5004", " - ", "PURCHASES @ COST-DIGITAL TEXT")</f>
        <v xml:space="preserve">          5004 - PURCHASES @ COST-DIGITAL TEXT</v>
      </c>
      <c r="C24" s="11"/>
      <c r="D24" s="2">
        <v>0</v>
      </c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25">
      <c r="A25" s="44"/>
      <c r="B25" s="11" t="str">
        <f>CONCATENATE("          ", "5026", " - ", "PURCHASES @ COST-WRITING INSTR")</f>
        <v xml:space="preserve">          5026 - PURCHASES @ COST-WRITING INSTR</v>
      </c>
      <c r="C25" s="11"/>
      <c r="D25" s="2"/>
      <c r="E25" s="2"/>
      <c r="F25" s="19">
        <f t="shared" si="4"/>
        <v>0</v>
      </c>
      <c r="G25" s="2"/>
      <c r="H25" s="2"/>
      <c r="I25" s="2"/>
      <c r="J25" s="19">
        <f t="shared" si="5"/>
        <v>0</v>
      </c>
      <c r="K25" s="2"/>
      <c r="L25" s="2">
        <f t="shared" si="6"/>
        <v>0</v>
      </c>
      <c r="M25" s="2"/>
      <c r="N25" s="19">
        <f t="shared" si="7"/>
        <v>0</v>
      </c>
      <c r="O25" s="11"/>
      <c r="P25" s="2">
        <v>0</v>
      </c>
      <c r="Q25" s="2"/>
      <c r="R25" s="19">
        <f t="shared" si="8"/>
        <v>0</v>
      </c>
      <c r="S25" s="2"/>
      <c r="T25" s="2"/>
      <c r="U25" s="2"/>
      <c r="V25" s="19">
        <f t="shared" si="9"/>
        <v>0</v>
      </c>
      <c r="W25" s="2"/>
      <c r="X25" s="2">
        <f t="shared" si="10"/>
        <v>0</v>
      </c>
      <c r="Y25" s="2"/>
      <c r="Z25" s="19">
        <f t="shared" si="11"/>
        <v>0</v>
      </c>
    </row>
    <row r="26" spans="1:26" s="24" customFormat="1" hidden="1" outlineLevel="1" x14ac:dyDescent="0.25">
      <c r="A26" s="44"/>
      <c r="B26" s="11" t="str">
        <f>CONCATENATE("          ", "5027", " - ", "PURCHASES @ COST-SCHOOL SUPPLI")</f>
        <v xml:space="preserve">          5027 - PURCHASES @ COST-SCHOOL SUPPLI</v>
      </c>
      <c r="C26" s="11"/>
      <c r="D26" s="2">
        <v>0</v>
      </c>
      <c r="E26" s="2"/>
      <c r="F26" s="19">
        <f t="shared" si="4"/>
        <v>0</v>
      </c>
      <c r="G26" s="2"/>
      <c r="H26" s="2"/>
      <c r="I26" s="2"/>
      <c r="J26" s="19">
        <f t="shared" si="5"/>
        <v>0</v>
      </c>
      <c r="K26" s="2"/>
      <c r="L26" s="2">
        <f t="shared" si="6"/>
        <v>0</v>
      </c>
      <c r="M26" s="2"/>
      <c r="N26" s="19">
        <f t="shared" si="7"/>
        <v>0</v>
      </c>
      <c r="O26" s="11"/>
      <c r="P26" s="2">
        <v>0</v>
      </c>
      <c r="Q26" s="2"/>
      <c r="R26" s="19">
        <f t="shared" si="8"/>
        <v>0</v>
      </c>
      <c r="S26" s="2"/>
      <c r="T26" s="2"/>
      <c r="U26" s="2"/>
      <c r="V26" s="19">
        <f t="shared" si="9"/>
        <v>0</v>
      </c>
      <c r="W26" s="2"/>
      <c r="X26" s="2">
        <f t="shared" si="10"/>
        <v>0</v>
      </c>
      <c r="Y26" s="2"/>
      <c r="Z26" s="19">
        <f t="shared" si="11"/>
        <v>0</v>
      </c>
    </row>
    <row r="27" spans="1:26" s="24" customFormat="1" hidden="1" outlineLevel="1" x14ac:dyDescent="0.25">
      <c r="A27" s="44"/>
      <c r="B27" s="11" t="str">
        <f>CONCATENATE("          ", "5028", " - ", "PURCHASES @ COST-ART/TECH")</f>
        <v xml:space="preserve">          5028 - PURCHASES @ COST-ART/TECH</v>
      </c>
      <c r="C27" s="11"/>
      <c r="D27" s="2">
        <v>0</v>
      </c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25">
      <c r="A28" s="44"/>
      <c r="B28" s="11" t="str">
        <f>CONCATENATE("          ", "5031", " - ", "PURCHASES @ COST-FOOD")</f>
        <v xml:space="preserve">          5031 - PURCHASES @ COST-FOOD</v>
      </c>
      <c r="C28" s="11"/>
      <c r="D28" s="2">
        <v>0</v>
      </c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25">
      <c r="A29" s="44"/>
      <c r="B29" s="11" t="str">
        <f>CONCATENATE("          ", "5040", " - ", "PURCHASES @ COST-LOGO CLOTHING")</f>
        <v xml:space="preserve">          5040 - PURCHASES @ COST-LOGO CLOTHING</v>
      </c>
      <c r="C29" s="11"/>
      <c r="D29" s="2">
        <v>0</v>
      </c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s="24" customFormat="1" hidden="1" outlineLevel="1" x14ac:dyDescent="0.25">
      <c r="A30" s="44"/>
      <c r="B30" s="11" t="str">
        <f>CONCATENATE("          ", "5041", " - ", "PURCHASES @ COST-LOGO GIFTS")</f>
        <v xml:space="preserve">          5041 - PURCHASES @ COST-LOGO GIFTS</v>
      </c>
      <c r="C30" s="11"/>
      <c r="D30" s="2">
        <v>0</v>
      </c>
      <c r="E30" s="2"/>
      <c r="F30" s="19">
        <f t="shared" si="4"/>
        <v>0</v>
      </c>
      <c r="G30" s="2"/>
      <c r="H30" s="2"/>
      <c r="I30" s="2"/>
      <c r="J30" s="19">
        <f t="shared" si="5"/>
        <v>0</v>
      </c>
      <c r="K30" s="2"/>
      <c r="L30" s="2">
        <f t="shared" si="6"/>
        <v>0</v>
      </c>
      <c r="M30" s="2"/>
      <c r="N30" s="19">
        <f t="shared" si="7"/>
        <v>0</v>
      </c>
      <c r="O30" s="11"/>
      <c r="P30" s="2">
        <v>0</v>
      </c>
      <c r="Q30" s="2"/>
      <c r="R30" s="19">
        <f t="shared" si="8"/>
        <v>0</v>
      </c>
      <c r="S30" s="2"/>
      <c r="T30" s="2"/>
      <c r="U30" s="2"/>
      <c r="V30" s="19">
        <f t="shared" si="9"/>
        <v>0</v>
      </c>
      <c r="W30" s="2"/>
      <c r="X30" s="2">
        <f t="shared" si="10"/>
        <v>0</v>
      </c>
      <c r="Y30" s="2"/>
      <c r="Z30" s="19">
        <f t="shared" si="11"/>
        <v>0</v>
      </c>
    </row>
    <row r="31" spans="1:26" s="24" customFormat="1" hidden="1" outlineLevel="1" x14ac:dyDescent="0.25">
      <c r="A31" s="44"/>
      <c r="B31" s="11" t="str">
        <f>CONCATENATE("          ", "5042", " - ", "PURCHASES @ COST-EVERYDAY GIFT")</f>
        <v xml:space="preserve">          5042 - PURCHASES @ COST-EVERYDAY GIFT</v>
      </c>
      <c r="C31" s="11"/>
      <c r="D31" s="2"/>
      <c r="E31" s="2"/>
      <c r="F31" s="19">
        <f t="shared" si="4"/>
        <v>0</v>
      </c>
      <c r="G31" s="2"/>
      <c r="H31" s="2"/>
      <c r="I31" s="2"/>
      <c r="J31" s="19">
        <f t="shared" si="5"/>
        <v>0</v>
      </c>
      <c r="K31" s="2"/>
      <c r="L31" s="2">
        <f t="shared" si="6"/>
        <v>0</v>
      </c>
      <c r="M31" s="2"/>
      <c r="N31" s="19">
        <f t="shared" si="7"/>
        <v>0</v>
      </c>
      <c r="O31" s="11"/>
      <c r="P31" s="2">
        <v>0</v>
      </c>
      <c r="Q31" s="2"/>
      <c r="R31" s="19">
        <f t="shared" si="8"/>
        <v>0</v>
      </c>
      <c r="S31" s="2"/>
      <c r="T31" s="2"/>
      <c r="U31" s="2"/>
      <c r="V31" s="19">
        <f t="shared" si="9"/>
        <v>0</v>
      </c>
      <c r="W31" s="2"/>
      <c r="X31" s="2">
        <f t="shared" si="10"/>
        <v>0</v>
      </c>
      <c r="Y31" s="2"/>
      <c r="Z31" s="19">
        <f t="shared" si="11"/>
        <v>0</v>
      </c>
    </row>
    <row r="32" spans="1:26" s="24" customFormat="1" hidden="1" outlineLevel="1" x14ac:dyDescent="0.25">
      <c r="A32" s="44"/>
      <c r="B32" s="11" t="str">
        <f>CONCATENATE("          ", "5043", " - ", "PURCHASES @ COST-CARDS")</f>
        <v xml:space="preserve">          5043 - PURCHASES @ COST-CARDS</v>
      </c>
      <c r="C32" s="11"/>
      <c r="D32" s="2"/>
      <c r="E32" s="2"/>
      <c r="F32" s="19">
        <f t="shared" si="4"/>
        <v>0</v>
      </c>
      <c r="G32" s="2"/>
      <c r="H32" s="2"/>
      <c r="I32" s="2"/>
      <c r="J32" s="19">
        <f t="shared" si="5"/>
        <v>0</v>
      </c>
      <c r="K32" s="2"/>
      <c r="L32" s="2">
        <f t="shared" si="6"/>
        <v>0</v>
      </c>
      <c r="M32" s="2"/>
      <c r="N32" s="19">
        <f t="shared" si="7"/>
        <v>0</v>
      </c>
      <c r="O32" s="11"/>
      <c r="P32" s="2">
        <v>0</v>
      </c>
      <c r="Q32" s="2"/>
      <c r="R32" s="19">
        <f t="shared" si="8"/>
        <v>0</v>
      </c>
      <c r="S32" s="2"/>
      <c r="T32" s="2"/>
      <c r="U32" s="2"/>
      <c r="V32" s="19">
        <f t="shared" si="9"/>
        <v>0</v>
      </c>
      <c r="W32" s="2"/>
      <c r="X32" s="2">
        <f t="shared" si="10"/>
        <v>0</v>
      </c>
      <c r="Y32" s="2"/>
      <c r="Z32" s="19">
        <f t="shared" si="11"/>
        <v>0</v>
      </c>
    </row>
    <row r="33" spans="1:26" s="24" customFormat="1" hidden="1" outlineLevel="1" x14ac:dyDescent="0.25">
      <c r="A33" s="44"/>
      <c r="B33" s="11" t="str">
        <f>CONCATENATE("          ", "5044", " - ", "PURCHASES @ COST-ACCESSORIES")</f>
        <v xml:space="preserve">          5044 - PURCHASES @ COST-ACCESSORIES</v>
      </c>
      <c r="C33" s="11"/>
      <c r="D33" s="2"/>
      <c r="E33" s="2"/>
      <c r="F33" s="19">
        <f t="shared" si="4"/>
        <v>0</v>
      </c>
      <c r="G33" s="2"/>
      <c r="H33" s="2"/>
      <c r="I33" s="2"/>
      <c r="J33" s="19">
        <f t="shared" si="5"/>
        <v>0</v>
      </c>
      <c r="K33" s="2"/>
      <c r="L33" s="2">
        <f t="shared" si="6"/>
        <v>0</v>
      </c>
      <c r="M33" s="2"/>
      <c r="N33" s="19">
        <f t="shared" si="7"/>
        <v>0</v>
      </c>
      <c r="O33" s="11"/>
      <c r="P33" s="2">
        <v>0</v>
      </c>
      <c r="Q33" s="2"/>
      <c r="R33" s="19">
        <f t="shared" si="8"/>
        <v>0</v>
      </c>
      <c r="S33" s="2"/>
      <c r="T33" s="2"/>
      <c r="U33" s="2"/>
      <c r="V33" s="19">
        <f t="shared" si="9"/>
        <v>0</v>
      </c>
      <c r="W33" s="2"/>
      <c r="X33" s="2">
        <f t="shared" si="10"/>
        <v>0</v>
      </c>
      <c r="Y33" s="2"/>
      <c r="Z33" s="19">
        <f t="shared" si="11"/>
        <v>0</v>
      </c>
    </row>
    <row r="34" spans="1:26" s="24" customFormat="1" hidden="1" outlineLevel="1" x14ac:dyDescent="0.25">
      <c r="A34" s="44"/>
      <c r="B34" s="11" t="str">
        <f>CONCATENATE("          ", "5045", " - ", "PURCHASES @ COST-SPECIAL ORDER")</f>
        <v xml:space="preserve">          5045 - PURCHASES @ COST-SPECIAL ORDER</v>
      </c>
      <c r="C34" s="11"/>
      <c r="D34" s="2">
        <v>0</v>
      </c>
      <c r="E34" s="2"/>
      <c r="F34" s="19">
        <f t="shared" si="4"/>
        <v>0</v>
      </c>
      <c r="G34" s="2"/>
      <c r="H34" s="2"/>
      <c r="I34" s="2"/>
      <c r="J34" s="19">
        <f t="shared" si="5"/>
        <v>0</v>
      </c>
      <c r="K34" s="2"/>
      <c r="L34" s="2">
        <f t="shared" si="6"/>
        <v>0</v>
      </c>
      <c r="M34" s="2"/>
      <c r="N34" s="19">
        <f t="shared" si="7"/>
        <v>0</v>
      </c>
      <c r="O34" s="11"/>
      <c r="P34" s="2">
        <v>0</v>
      </c>
      <c r="Q34" s="2"/>
      <c r="R34" s="19">
        <f t="shared" si="8"/>
        <v>0</v>
      </c>
      <c r="S34" s="2"/>
      <c r="T34" s="2"/>
      <c r="U34" s="2"/>
      <c r="V34" s="19">
        <f t="shared" si="9"/>
        <v>0</v>
      </c>
      <c r="W34" s="2"/>
      <c r="X34" s="2">
        <f t="shared" si="10"/>
        <v>0</v>
      </c>
      <c r="Y34" s="2"/>
      <c r="Z34" s="19">
        <f t="shared" si="11"/>
        <v>0</v>
      </c>
    </row>
    <row r="35" spans="1:26" s="24" customFormat="1" hidden="1" outlineLevel="1" x14ac:dyDescent="0.25">
      <c r="A35" s="44"/>
      <c r="B35" s="11" t="str">
        <f>CONCATENATE("          ", "5200", " - ", "PURCHASES OFFSET")</f>
        <v xml:space="preserve">          5200 - PURCHASES OFFSET</v>
      </c>
      <c r="C35" s="11"/>
      <c r="D35" s="2">
        <v>-697456.98</v>
      </c>
      <c r="E35" s="2"/>
      <c r="F35" s="19">
        <f t="shared" si="4"/>
        <v>-1.1933507221389228</v>
      </c>
      <c r="G35" s="2"/>
      <c r="H35" s="2"/>
      <c r="I35" s="2"/>
      <c r="J35" s="19">
        <f t="shared" si="5"/>
        <v>0</v>
      </c>
      <c r="K35" s="2"/>
      <c r="L35" s="2">
        <f t="shared" si="6"/>
        <v>-697456.98</v>
      </c>
      <c r="M35" s="2"/>
      <c r="N35" s="19">
        <f t="shared" si="7"/>
        <v>0</v>
      </c>
      <c r="O35" s="11"/>
      <c r="P35" s="2">
        <v>-1347625.63</v>
      </c>
      <c r="Q35" s="2"/>
      <c r="R35" s="19">
        <f t="shared" si="8"/>
        <v>-0.58143818657969804</v>
      </c>
      <c r="S35" s="2"/>
      <c r="T35" s="2"/>
      <c r="U35" s="2"/>
      <c r="V35" s="19">
        <f t="shared" si="9"/>
        <v>0</v>
      </c>
      <c r="W35" s="2"/>
      <c r="X35" s="2">
        <f t="shared" si="10"/>
        <v>-1347625.63</v>
      </c>
      <c r="Y35" s="2"/>
      <c r="Z35" s="19">
        <f t="shared" si="11"/>
        <v>0</v>
      </c>
    </row>
    <row r="36" spans="1:26" s="24" customFormat="1" hidden="1" outlineLevel="1" x14ac:dyDescent="0.25">
      <c r="A36" s="44"/>
      <c r="B36" s="11" t="str">
        <f>CONCATENATE("          ", "5300", " - ", "COG$ OFFSET")</f>
        <v xml:space="preserve">          5300 - COG$ OFFSET</v>
      </c>
      <c r="C36" s="11"/>
      <c r="D36" s="2">
        <v>339299.2</v>
      </c>
      <c r="E36" s="2"/>
      <c r="F36" s="19">
        <f t="shared" si="4"/>
        <v>0.58054182114739006</v>
      </c>
      <c r="G36" s="2"/>
      <c r="H36" s="2"/>
      <c r="I36" s="2"/>
      <c r="J36" s="19">
        <f t="shared" si="5"/>
        <v>0</v>
      </c>
      <c r="K36" s="2"/>
      <c r="L36" s="2">
        <f t="shared" si="6"/>
        <v>339299.2</v>
      </c>
      <c r="M36" s="2"/>
      <c r="N36" s="19">
        <f t="shared" si="7"/>
        <v>0</v>
      </c>
      <c r="O36" s="11"/>
      <c r="P36" s="2">
        <v>1254097.95</v>
      </c>
      <c r="Q36" s="2"/>
      <c r="R36" s="19">
        <f t="shared" si="8"/>
        <v>0.54108531450334385</v>
      </c>
      <c r="S36" s="2"/>
      <c r="T36" s="2"/>
      <c r="U36" s="2"/>
      <c r="V36" s="19">
        <f t="shared" si="9"/>
        <v>0</v>
      </c>
      <c r="W36" s="2"/>
      <c r="X36" s="2">
        <f t="shared" si="10"/>
        <v>1254097.95</v>
      </c>
      <c r="Y36" s="2"/>
      <c r="Z36" s="19">
        <f t="shared" si="11"/>
        <v>0</v>
      </c>
    </row>
    <row r="37" spans="1:26" s="24" customFormat="1" hidden="1" outlineLevel="1" x14ac:dyDescent="0.25">
      <c r="A37" s="44"/>
      <c r="B37" s="11" t="str">
        <f>CONCATENATE("          ", "5500", " - ", "FREIGHT-IN")</f>
        <v xml:space="preserve">          5500 - FREIGHT-IN</v>
      </c>
      <c r="C37" s="11"/>
      <c r="D37" s="2">
        <v>17166.12</v>
      </c>
      <c r="E37" s="2"/>
      <c r="F37" s="19">
        <f t="shared" si="4"/>
        <v>2.9371276344991776E-2</v>
      </c>
      <c r="G37" s="2"/>
      <c r="H37" s="2"/>
      <c r="I37" s="2"/>
      <c r="J37" s="19">
        <f t="shared" si="5"/>
        <v>0</v>
      </c>
      <c r="K37" s="2"/>
      <c r="L37" s="2">
        <f t="shared" si="6"/>
        <v>17166.12</v>
      </c>
      <c r="M37" s="2"/>
      <c r="N37" s="19">
        <f t="shared" si="7"/>
        <v>0</v>
      </c>
      <c r="O37" s="11"/>
      <c r="P37" s="2">
        <v>27340.79</v>
      </c>
      <c r="Q37" s="2"/>
      <c r="R37" s="19">
        <f t="shared" si="8"/>
        <v>1.1796287487687768E-2</v>
      </c>
      <c r="S37" s="2"/>
      <c r="T37" s="2"/>
      <c r="U37" s="2"/>
      <c r="V37" s="19">
        <f t="shared" si="9"/>
        <v>0</v>
      </c>
      <c r="W37" s="2"/>
      <c r="X37" s="2">
        <f t="shared" si="10"/>
        <v>27340.79</v>
      </c>
      <c r="Y37" s="2"/>
      <c r="Z37" s="19">
        <f t="shared" si="11"/>
        <v>0</v>
      </c>
    </row>
    <row r="38" spans="1:26" s="24" customFormat="1" hidden="1" outlineLevel="1" x14ac:dyDescent="0.25">
      <c r="A38" s="44"/>
      <c r="B38" s="11" t="str">
        <f>CONCATENATE("          ", "5501", " - ", "FREIGHT-IN-NEW TEXT")</f>
        <v xml:space="preserve">          5501 - FREIGHT-IN-NEW TEXT</v>
      </c>
      <c r="C38" s="11"/>
      <c r="D38" s="2">
        <v>0</v>
      </c>
      <c r="E38" s="2"/>
      <c r="F38" s="19">
        <f t="shared" si="4"/>
        <v>0</v>
      </c>
      <c r="G38" s="2"/>
      <c r="H38" s="2"/>
      <c r="I38" s="2"/>
      <c r="J38" s="19">
        <f t="shared" si="5"/>
        <v>0</v>
      </c>
      <c r="K38" s="2"/>
      <c r="L38" s="2">
        <f t="shared" si="6"/>
        <v>0</v>
      </c>
      <c r="M38" s="2"/>
      <c r="N38" s="19">
        <f t="shared" si="7"/>
        <v>0</v>
      </c>
      <c r="O38" s="11"/>
      <c r="P38" s="2">
        <v>0</v>
      </c>
      <c r="Q38" s="2"/>
      <c r="R38" s="19">
        <f t="shared" si="8"/>
        <v>0</v>
      </c>
      <c r="S38" s="2"/>
      <c r="T38" s="2"/>
      <c r="U38" s="2"/>
      <c r="V38" s="19">
        <f t="shared" si="9"/>
        <v>0</v>
      </c>
      <c r="W38" s="2"/>
      <c r="X38" s="2">
        <f t="shared" si="10"/>
        <v>0</v>
      </c>
      <c r="Y38" s="2"/>
      <c r="Z38" s="19">
        <f t="shared" si="11"/>
        <v>0</v>
      </c>
    </row>
    <row r="39" spans="1:26" s="24" customFormat="1" hidden="1" outlineLevel="1" x14ac:dyDescent="0.25">
      <c r="A39" s="44"/>
      <c r="B39" s="11" t="str">
        <f>CONCATENATE("          ", "5502", " - ", "FREIGHT-IN-USED TEXT")</f>
        <v xml:space="preserve">          5502 - FREIGHT-IN-USED TEXT</v>
      </c>
      <c r="C39" s="11"/>
      <c r="D39" s="2">
        <v>0</v>
      </c>
      <c r="E39" s="2"/>
      <c r="F39" s="19">
        <f t="shared" si="4"/>
        <v>0</v>
      </c>
      <c r="G39" s="2"/>
      <c r="H39" s="2"/>
      <c r="I39" s="2"/>
      <c r="J39" s="19">
        <f t="shared" si="5"/>
        <v>0</v>
      </c>
      <c r="K39" s="2"/>
      <c r="L39" s="2">
        <f t="shared" si="6"/>
        <v>0</v>
      </c>
      <c r="M39" s="2"/>
      <c r="N39" s="19">
        <f t="shared" si="7"/>
        <v>0</v>
      </c>
      <c r="O39" s="11"/>
      <c r="P39" s="2">
        <v>0</v>
      </c>
      <c r="Q39" s="2"/>
      <c r="R39" s="19">
        <f t="shared" si="8"/>
        <v>0</v>
      </c>
      <c r="S39" s="2"/>
      <c r="T39" s="2"/>
      <c r="U39" s="2"/>
      <c r="V39" s="19">
        <f t="shared" si="9"/>
        <v>0</v>
      </c>
      <c r="W39" s="2"/>
      <c r="X39" s="2">
        <f t="shared" si="10"/>
        <v>0</v>
      </c>
      <c r="Y39" s="2"/>
      <c r="Z39" s="19">
        <f t="shared" si="11"/>
        <v>0</v>
      </c>
    </row>
    <row r="40" spans="1:26" s="24" customFormat="1" hidden="1" outlineLevel="1" x14ac:dyDescent="0.25">
      <c r="A40" s="44"/>
      <c r="B40" s="11" t="str">
        <f>CONCATENATE("          ", "5518", " - ", "FREIGHT-IN-STUDY GUIDES")</f>
        <v xml:space="preserve">          5518 - FREIGHT-IN-STUDY GUIDES</v>
      </c>
      <c r="C40" s="11"/>
      <c r="D40" s="2"/>
      <c r="E40" s="2"/>
      <c r="F40" s="19">
        <f t="shared" si="4"/>
        <v>0</v>
      </c>
      <c r="G40" s="2"/>
      <c r="H40" s="2"/>
      <c r="I40" s="2"/>
      <c r="J40" s="19">
        <f t="shared" si="5"/>
        <v>0</v>
      </c>
      <c r="K40" s="2"/>
      <c r="L40" s="2">
        <f t="shared" si="6"/>
        <v>0</v>
      </c>
      <c r="M40" s="2"/>
      <c r="N40" s="19">
        <f t="shared" si="7"/>
        <v>0</v>
      </c>
      <c r="O40" s="11"/>
      <c r="P40" s="2">
        <v>0</v>
      </c>
      <c r="Q40" s="2"/>
      <c r="R40" s="19">
        <f t="shared" si="8"/>
        <v>0</v>
      </c>
      <c r="S40" s="2"/>
      <c r="T40" s="2"/>
      <c r="U40" s="2"/>
      <c r="V40" s="19">
        <f t="shared" si="9"/>
        <v>0</v>
      </c>
      <c r="W40" s="2"/>
      <c r="X40" s="2">
        <f t="shared" si="10"/>
        <v>0</v>
      </c>
      <c r="Y40" s="2"/>
      <c r="Z40" s="19">
        <f t="shared" si="11"/>
        <v>0</v>
      </c>
    </row>
    <row r="41" spans="1:26" s="24" customFormat="1" hidden="1" outlineLevel="1" x14ac:dyDescent="0.25">
      <c r="A41" s="44"/>
      <c r="B41" s="11" t="str">
        <f>CONCATENATE("          ", "5527", " - ", "FREIGHT-IN-SCHOOL SUPPLIES")</f>
        <v xml:space="preserve">          5527 - FREIGHT-IN-SCHOOL SUPPLIES</v>
      </c>
      <c r="C41" s="11"/>
      <c r="D41" s="2"/>
      <c r="E41" s="2"/>
      <c r="F41" s="19">
        <f t="shared" si="4"/>
        <v>0</v>
      </c>
      <c r="G41" s="2"/>
      <c r="H41" s="2"/>
      <c r="I41" s="2"/>
      <c r="J41" s="19">
        <f t="shared" si="5"/>
        <v>0</v>
      </c>
      <c r="K41" s="2"/>
      <c r="L41" s="2">
        <f t="shared" si="6"/>
        <v>0</v>
      </c>
      <c r="M41" s="2"/>
      <c r="N41" s="19">
        <f t="shared" si="7"/>
        <v>0</v>
      </c>
      <c r="O41" s="11"/>
      <c r="P41" s="2">
        <v>0</v>
      </c>
      <c r="Q41" s="2"/>
      <c r="R41" s="19">
        <f t="shared" si="8"/>
        <v>0</v>
      </c>
      <c r="S41" s="2"/>
      <c r="T41" s="2"/>
      <c r="U41" s="2"/>
      <c r="V41" s="19">
        <f t="shared" si="9"/>
        <v>0</v>
      </c>
      <c r="W41" s="2"/>
      <c r="X41" s="2">
        <f t="shared" si="10"/>
        <v>0</v>
      </c>
      <c r="Y41" s="2"/>
      <c r="Z41" s="19">
        <f t="shared" si="11"/>
        <v>0</v>
      </c>
    </row>
    <row r="42" spans="1:26" s="24" customFormat="1" hidden="1" outlineLevel="1" x14ac:dyDescent="0.25">
      <c r="A42" s="44"/>
      <c r="B42" s="11" t="str">
        <f>CONCATENATE("          ", "5528", " - ", "FREIGHT-IN-ART/TECH")</f>
        <v xml:space="preserve">          5528 - FREIGHT-IN-ART/TECH</v>
      </c>
      <c r="C42" s="11"/>
      <c r="D42" s="2">
        <v>0</v>
      </c>
      <c r="E42" s="2"/>
      <c r="F42" s="19">
        <f t="shared" si="4"/>
        <v>0</v>
      </c>
      <c r="G42" s="2"/>
      <c r="H42" s="2"/>
      <c r="I42" s="2"/>
      <c r="J42" s="19">
        <f t="shared" si="5"/>
        <v>0</v>
      </c>
      <c r="K42" s="2"/>
      <c r="L42" s="2">
        <f t="shared" si="6"/>
        <v>0</v>
      </c>
      <c r="M42" s="2"/>
      <c r="N42" s="19">
        <f t="shared" si="7"/>
        <v>0</v>
      </c>
      <c r="O42" s="11"/>
      <c r="P42" s="2">
        <v>0</v>
      </c>
      <c r="Q42" s="2"/>
      <c r="R42" s="19">
        <f t="shared" si="8"/>
        <v>0</v>
      </c>
      <c r="S42" s="2"/>
      <c r="T42" s="2"/>
      <c r="U42" s="2"/>
      <c r="V42" s="19">
        <f t="shared" si="9"/>
        <v>0</v>
      </c>
      <c r="W42" s="2"/>
      <c r="X42" s="2">
        <f t="shared" si="10"/>
        <v>0</v>
      </c>
      <c r="Y42" s="2"/>
      <c r="Z42" s="19">
        <f t="shared" si="11"/>
        <v>0</v>
      </c>
    </row>
    <row r="43" spans="1:26" s="24" customFormat="1" hidden="1" outlineLevel="1" x14ac:dyDescent="0.25">
      <c r="A43" s="44"/>
      <c r="B43" s="11" t="str">
        <f>CONCATENATE("          ", "5540", " - ", "FREIGHT-IN-LOGO CLOTHING")</f>
        <v xml:space="preserve">          5540 - FREIGHT-IN-LOGO CLOTHING</v>
      </c>
      <c r="C43" s="11"/>
      <c r="D43" s="2"/>
      <c r="E43" s="2"/>
      <c r="F43" s="19">
        <f t="shared" si="4"/>
        <v>0</v>
      </c>
      <c r="G43" s="2"/>
      <c r="H43" s="2"/>
      <c r="I43" s="2"/>
      <c r="J43" s="19">
        <f t="shared" si="5"/>
        <v>0</v>
      </c>
      <c r="K43" s="2"/>
      <c r="L43" s="2">
        <f t="shared" si="6"/>
        <v>0</v>
      </c>
      <c r="M43" s="2"/>
      <c r="N43" s="19">
        <f t="shared" si="7"/>
        <v>0</v>
      </c>
      <c r="O43" s="11"/>
      <c r="P43" s="2">
        <v>0</v>
      </c>
      <c r="Q43" s="2"/>
      <c r="R43" s="19">
        <f t="shared" si="8"/>
        <v>0</v>
      </c>
      <c r="S43" s="2"/>
      <c r="T43" s="2"/>
      <c r="U43" s="2"/>
      <c r="V43" s="19">
        <f t="shared" si="9"/>
        <v>0</v>
      </c>
      <c r="W43" s="2"/>
      <c r="X43" s="2">
        <f t="shared" si="10"/>
        <v>0</v>
      </c>
      <c r="Y43" s="2"/>
      <c r="Z43" s="19">
        <f t="shared" si="11"/>
        <v>0</v>
      </c>
    </row>
    <row r="44" spans="1:26" s="24" customFormat="1" hidden="1" outlineLevel="1" x14ac:dyDescent="0.25">
      <c r="A44" s="44"/>
      <c r="B44" s="11" t="str">
        <f>CONCATENATE("          ", "5541", " - ", "FREIGHT-IN-LOGO GIFTS")</f>
        <v xml:space="preserve">          5541 - FREIGHT-IN-LOGO GIFTS</v>
      </c>
      <c r="C44" s="11"/>
      <c r="D44" s="2">
        <v>0</v>
      </c>
      <c r="E44" s="2"/>
      <c r="F44" s="19">
        <f t="shared" si="4"/>
        <v>0</v>
      </c>
      <c r="G44" s="2"/>
      <c r="H44" s="2"/>
      <c r="I44" s="2"/>
      <c r="J44" s="19">
        <f t="shared" si="5"/>
        <v>0</v>
      </c>
      <c r="K44" s="2"/>
      <c r="L44" s="2">
        <f t="shared" si="6"/>
        <v>0</v>
      </c>
      <c r="M44" s="2"/>
      <c r="N44" s="19">
        <f t="shared" si="7"/>
        <v>0</v>
      </c>
      <c r="O44" s="11"/>
      <c r="P44" s="2">
        <v>0</v>
      </c>
      <c r="Q44" s="2"/>
      <c r="R44" s="19">
        <f t="shared" si="8"/>
        <v>0</v>
      </c>
      <c r="S44" s="2"/>
      <c r="T44" s="2"/>
      <c r="U44" s="2"/>
      <c r="V44" s="19">
        <f t="shared" si="9"/>
        <v>0</v>
      </c>
      <c r="W44" s="2"/>
      <c r="X44" s="2">
        <f t="shared" si="10"/>
        <v>0</v>
      </c>
      <c r="Y44" s="2"/>
      <c r="Z44" s="19">
        <f t="shared" si="11"/>
        <v>0</v>
      </c>
    </row>
    <row r="45" spans="1:26" s="24" customFormat="1" hidden="1" outlineLevel="1" x14ac:dyDescent="0.25">
      <c r="A45" s="44"/>
      <c r="B45" s="11" t="str">
        <f>CONCATENATE("          ", "5542", " - ", "FREIGHT-IN-EVERYDAY GIFTS")</f>
        <v xml:space="preserve">          5542 - FREIGHT-IN-EVERYDAY GIFTS</v>
      </c>
      <c r="C45" s="11"/>
      <c r="D45" s="2"/>
      <c r="E45" s="2"/>
      <c r="F45" s="19">
        <f t="shared" si="4"/>
        <v>0</v>
      </c>
      <c r="G45" s="2"/>
      <c r="H45" s="2"/>
      <c r="I45" s="2"/>
      <c r="J45" s="19">
        <f t="shared" si="5"/>
        <v>0</v>
      </c>
      <c r="K45" s="2"/>
      <c r="L45" s="2">
        <f t="shared" si="6"/>
        <v>0</v>
      </c>
      <c r="M45" s="2"/>
      <c r="N45" s="19">
        <f t="shared" si="7"/>
        <v>0</v>
      </c>
      <c r="O45" s="11"/>
      <c r="P45" s="2">
        <v>0</v>
      </c>
      <c r="Q45" s="2"/>
      <c r="R45" s="19">
        <f t="shared" si="8"/>
        <v>0</v>
      </c>
      <c r="S45" s="2"/>
      <c r="T45" s="2"/>
      <c r="U45" s="2"/>
      <c r="V45" s="19">
        <f t="shared" si="9"/>
        <v>0</v>
      </c>
      <c r="W45" s="2"/>
      <c r="X45" s="2">
        <f t="shared" si="10"/>
        <v>0</v>
      </c>
      <c r="Y45" s="2"/>
      <c r="Z45" s="19">
        <f t="shared" si="11"/>
        <v>0</v>
      </c>
    </row>
    <row r="46" spans="1:26" s="24" customFormat="1" hidden="1" outlineLevel="1" x14ac:dyDescent="0.25">
      <c r="A46" s="44"/>
      <c r="B46" s="11" t="str">
        <f>CONCATENATE("          ", "5544", " - ", "FREIGHT-IN-ACCESSORIES")</f>
        <v xml:space="preserve">          5544 - FREIGHT-IN-ACCESSORIES</v>
      </c>
      <c r="C46" s="11"/>
      <c r="D46" s="2"/>
      <c r="E46" s="2"/>
      <c r="F46" s="19">
        <f t="shared" si="4"/>
        <v>0</v>
      </c>
      <c r="G46" s="2"/>
      <c r="H46" s="2"/>
      <c r="I46" s="2"/>
      <c r="J46" s="19">
        <f t="shared" si="5"/>
        <v>0</v>
      </c>
      <c r="K46" s="2"/>
      <c r="L46" s="2">
        <f t="shared" si="6"/>
        <v>0</v>
      </c>
      <c r="M46" s="2"/>
      <c r="N46" s="19">
        <f t="shared" si="7"/>
        <v>0</v>
      </c>
      <c r="O46" s="11"/>
      <c r="P46" s="2">
        <v>0</v>
      </c>
      <c r="Q46" s="2"/>
      <c r="R46" s="19">
        <f t="shared" si="8"/>
        <v>0</v>
      </c>
      <c r="S46" s="2"/>
      <c r="T46" s="2"/>
      <c r="U46" s="2"/>
      <c r="V46" s="19">
        <f t="shared" si="9"/>
        <v>0</v>
      </c>
      <c r="W46" s="2"/>
      <c r="X46" s="2">
        <f t="shared" si="10"/>
        <v>0</v>
      </c>
      <c r="Y46" s="2"/>
      <c r="Z46" s="19">
        <f t="shared" si="11"/>
        <v>0</v>
      </c>
    </row>
    <row r="47" spans="1:26" s="24" customFormat="1" hidden="1" outlineLevel="1" x14ac:dyDescent="0.25">
      <c r="A47" s="44"/>
      <c r="B47" s="11" t="str">
        <f>CONCATENATE("          ", "5545", " - ", "FREIGHT-IN-SPECIAL ORDERS")</f>
        <v xml:space="preserve">          5545 - FREIGHT-IN-SPECIAL ORDERS</v>
      </c>
      <c r="C47" s="11"/>
      <c r="D47" s="2"/>
      <c r="E47" s="2"/>
      <c r="F47" s="19">
        <f t="shared" si="4"/>
        <v>0</v>
      </c>
      <c r="G47" s="2"/>
      <c r="H47" s="2"/>
      <c r="I47" s="2"/>
      <c r="J47" s="19">
        <f t="shared" si="5"/>
        <v>0</v>
      </c>
      <c r="K47" s="2"/>
      <c r="L47" s="2">
        <f t="shared" si="6"/>
        <v>0</v>
      </c>
      <c r="M47" s="2"/>
      <c r="N47" s="19">
        <f t="shared" si="7"/>
        <v>0</v>
      </c>
      <c r="O47" s="11"/>
      <c r="P47" s="2">
        <v>0</v>
      </c>
      <c r="Q47" s="2"/>
      <c r="R47" s="19">
        <f t="shared" si="8"/>
        <v>0</v>
      </c>
      <c r="S47" s="2"/>
      <c r="T47" s="2"/>
      <c r="U47" s="2"/>
      <c r="V47" s="19">
        <f t="shared" si="9"/>
        <v>0</v>
      </c>
      <c r="W47" s="2"/>
      <c r="X47" s="2">
        <f t="shared" si="10"/>
        <v>0</v>
      </c>
      <c r="Y47" s="2"/>
      <c r="Z47" s="19">
        <f t="shared" si="11"/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5" t="s">
        <v>108</v>
      </c>
      <c r="C49" s="25"/>
      <c r="D49" s="21">
        <f>D12-D20</f>
        <v>199140.35000000015</v>
      </c>
      <c r="E49" s="13"/>
      <c r="F49" s="20">
        <f>IF(D$12=0,0,D49/D$12)</f>
        <v>0.34072966117494158</v>
      </c>
      <c r="G49" s="13"/>
      <c r="H49" s="21">
        <f>H12-H20</f>
        <v>316442</v>
      </c>
      <c r="I49" s="13"/>
      <c r="J49" s="20">
        <f>IF(H$12=0,0,H49/H$12)</f>
        <v>0.38655589474468588</v>
      </c>
      <c r="K49" s="16"/>
      <c r="L49" s="21">
        <f>+D49-H49</f>
        <v>-117301.64999999985</v>
      </c>
      <c r="M49" s="16"/>
      <c r="N49" s="20">
        <f>IF(H49=0,0,L49/H49)</f>
        <v>-0.37068925743106113</v>
      </c>
      <c r="O49" s="26"/>
      <c r="P49" s="21">
        <f>P12-P20</f>
        <v>812673.6099999994</v>
      </c>
      <c r="Q49" s="13"/>
      <c r="R49" s="20">
        <f>IF(P$12=0,0,P49/P$12)</f>
        <v>0.35063110967960476</v>
      </c>
      <c r="S49" s="13"/>
      <c r="T49" s="21">
        <f>T12-T20</f>
        <v>1328698</v>
      </c>
      <c r="U49" s="13"/>
      <c r="V49" s="20">
        <f>IF(T$12=0,0,T49/T$12)</f>
        <v>0.34155935563510803</v>
      </c>
      <c r="W49" s="16"/>
      <c r="X49" s="21">
        <f>+P49-T49</f>
        <v>-516024.3900000006</v>
      </c>
      <c r="Y49" s="16"/>
      <c r="Z49" s="20">
        <f>IF(T49=0,0,X49/T49)</f>
        <v>-0.38836845543532134</v>
      </c>
    </row>
    <row r="50" spans="1:26" x14ac:dyDescent="0.25">
      <c r="A50" s="9"/>
      <c r="B50" s="10"/>
      <c r="C50" s="9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6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25">
      <c r="A51" s="10"/>
      <c r="B51" s="26" t="s">
        <v>295</v>
      </c>
      <c r="C51" s="10"/>
      <c r="D51" s="22">
        <f>SUM(OSRRefD22x_0)</f>
        <v>291858.15999999992</v>
      </c>
      <c r="E51" s="22"/>
      <c r="F51" s="32">
        <f t="shared" ref="F51:F62" si="12">IF(D$12=0,0,D51/D$12)</f>
        <v>0.4993700772743534</v>
      </c>
      <c r="G51" s="22"/>
      <c r="H51" s="22">
        <f>SUM(OSRRefH22x_0)</f>
        <v>313459.50846691278</v>
      </c>
      <c r="I51" s="22"/>
      <c r="J51" s="32">
        <f t="shared" ref="J51:J62" si="13">IF(H$12=0,0,H51/H$12)</f>
        <v>0.38291257406304124</v>
      </c>
      <c r="K51" s="4"/>
      <c r="L51" s="22">
        <f t="shared" ref="L51:L62" si="14">+D51-H51</f>
        <v>-21601.348466912867</v>
      </c>
      <c r="M51" s="4"/>
      <c r="N51" s="32">
        <f t="shared" ref="N51:N62" si="15">IF(H51=0,0,L51/H51)</f>
        <v>-6.8912723600448686E-2</v>
      </c>
      <c r="O51" s="10"/>
      <c r="P51" s="22">
        <f>SUM(OSRRefP22x_0)</f>
        <v>995250.98999999987</v>
      </c>
      <c r="Q51" s="22"/>
      <c r="R51" s="32">
        <f t="shared" ref="R51:R62" si="16">IF(P$12=0,0,P51/P$12)</f>
        <v>0.42940481238639633</v>
      </c>
      <c r="S51" s="22"/>
      <c r="T51" s="22">
        <f>SUM(OSRRefT22x_0)</f>
        <v>1070550.5228251587</v>
      </c>
      <c r="U51" s="22"/>
      <c r="V51" s="32">
        <f t="shared" ref="V51:V62" si="17">IF(T$12=0,0,T51/T$12)</f>
        <v>0.27519913987301042</v>
      </c>
      <c r="W51" s="4"/>
      <c r="X51" s="22">
        <f t="shared" ref="X51:X62" si="18">+P51-T51</f>
        <v>-75299.532825158793</v>
      </c>
      <c r="Y51" s="4"/>
      <c r="Z51" s="32">
        <f t="shared" ref="Z51:Z62" si="19">IF(T51=0,0,X51/T51)</f>
        <v>-7.0337206156739829E-2</v>
      </c>
    </row>
    <row r="52" spans="1:26" s="28" customFormat="1" outlineLevel="1" collapsed="1" x14ac:dyDescent="0.25">
      <c r="A52" s="27"/>
      <c r="B52" s="14" t="str">
        <f>CONCATENATE("     ","*Benefits                                         ")</f>
        <v xml:space="preserve">     *Benefits                                         </v>
      </c>
      <c r="C52" s="14"/>
      <c r="D52" s="1">
        <f>SUM(OSRRefD22_0x_0)</f>
        <v>46090.750000000007</v>
      </c>
      <c r="E52" s="1"/>
      <c r="F52" s="5">
        <f t="shared" si="12"/>
        <v>7.8861394141362756E-2</v>
      </c>
      <c r="G52" s="1"/>
      <c r="H52" s="1">
        <f>SUM(OSRRefH22_0x_0)</f>
        <v>46263.582921659014</v>
      </c>
      <c r="I52" s="1"/>
      <c r="J52" s="5">
        <f t="shared" si="13"/>
        <v>5.6514181715375547E-2</v>
      </c>
      <c r="K52" s="1"/>
      <c r="L52" s="1">
        <f t="shared" si="14"/>
        <v>-172.83292165900639</v>
      </c>
      <c r="M52" s="1"/>
      <c r="N52" s="5">
        <f t="shared" si="15"/>
        <v>-3.7358308791533737E-3</v>
      </c>
      <c r="O52" s="14"/>
      <c r="P52" s="1">
        <f>SUM(OSRRefP22_0x_0)</f>
        <v>145612.96</v>
      </c>
      <c r="Q52" s="1"/>
      <c r="R52" s="5">
        <f t="shared" si="16"/>
        <v>6.2825263574797188E-2</v>
      </c>
      <c r="S52" s="1"/>
      <c r="T52" s="1">
        <f>SUM(OSRRefT22_0x_0)</f>
        <v>154614.67326462257</v>
      </c>
      <c r="U52" s="1"/>
      <c r="V52" s="5">
        <f t="shared" si="17"/>
        <v>3.9745742201762364E-2</v>
      </c>
      <c r="W52" s="1"/>
      <c r="X52" s="1">
        <f t="shared" si="18"/>
        <v>-9001.71326462258</v>
      </c>
      <c r="Y52" s="1"/>
      <c r="Z52" s="5">
        <f t="shared" si="19"/>
        <v>-5.8220303898428666E-2</v>
      </c>
    </row>
    <row r="53" spans="1:26" s="24" customFormat="1" hidden="1" outlineLevel="2" x14ac:dyDescent="0.25">
      <c r="A53" s="29"/>
      <c r="B53" s="11" t="str">
        <f>CONCATENATE("          ", "6111", " - ", "F.I.C.A.")</f>
        <v xml:space="preserve">          6111 - F.I.C.A.</v>
      </c>
      <c r="C53" s="11"/>
      <c r="D53" s="7">
        <v>7599.49</v>
      </c>
      <c r="E53" s="2"/>
      <c r="F53" s="6">
        <f t="shared" si="12"/>
        <v>1.3002747322691532E-2</v>
      </c>
      <c r="G53" s="2"/>
      <c r="H53" s="7">
        <v>8973.6638629797708</v>
      </c>
      <c r="I53" s="2"/>
      <c r="J53" s="6">
        <f t="shared" si="13"/>
        <v>1.0961954050638661E-2</v>
      </c>
      <c r="K53" s="2"/>
      <c r="L53" s="7">
        <f t="shared" si="14"/>
        <v>-1374.173862979771</v>
      </c>
      <c r="M53" s="2"/>
      <c r="N53" s="6">
        <f t="shared" si="15"/>
        <v>-0.15313409148840867</v>
      </c>
      <c r="O53" s="11"/>
      <c r="P53" s="7">
        <v>29547.53</v>
      </c>
      <c r="Q53" s="2"/>
      <c r="R53" s="6">
        <f t="shared" si="16"/>
        <v>1.274839382589453E-2</v>
      </c>
      <c r="S53" s="2"/>
      <c r="T53" s="7">
        <v>32049.5738373766</v>
      </c>
      <c r="U53" s="2"/>
      <c r="V53" s="6">
        <f t="shared" si="17"/>
        <v>8.2387659108948529E-3</v>
      </c>
      <c r="W53" s="2"/>
      <c r="X53" s="7">
        <f t="shared" si="18"/>
        <v>-2502.043837376601</v>
      </c>
      <c r="Y53" s="2"/>
      <c r="Z53" s="6">
        <f t="shared" si="19"/>
        <v>-7.8067928455843844E-2</v>
      </c>
    </row>
    <row r="54" spans="1:26" s="24" customFormat="1" hidden="1" outlineLevel="2" x14ac:dyDescent="0.25">
      <c r="A54" s="29"/>
      <c r="B54" s="11" t="str">
        <f>CONCATENATE("          ", "6112", " - ", "COMPENSATION INSURANCE")</f>
        <v xml:space="preserve">          6112 - COMPENSATION INSURANCE</v>
      </c>
      <c r="C54" s="11"/>
      <c r="D54" s="7">
        <v>2485.61</v>
      </c>
      <c r="E54" s="2"/>
      <c r="F54" s="6">
        <f t="shared" si="12"/>
        <v>4.2528852295029406E-3</v>
      </c>
      <c r="G54" s="2"/>
      <c r="H54" s="7">
        <v>2701.3554754800002</v>
      </c>
      <c r="I54" s="2"/>
      <c r="J54" s="6">
        <f t="shared" si="13"/>
        <v>3.2998934491869848E-3</v>
      </c>
      <c r="K54" s="2"/>
      <c r="L54" s="7">
        <f t="shared" si="14"/>
        <v>-215.7454754800001</v>
      </c>
      <c r="M54" s="2"/>
      <c r="N54" s="6">
        <f t="shared" si="15"/>
        <v>-7.9865636876858853E-2</v>
      </c>
      <c r="O54" s="11"/>
      <c r="P54" s="7">
        <v>6998.57</v>
      </c>
      <c r="Q54" s="2"/>
      <c r="R54" s="6">
        <f t="shared" si="16"/>
        <v>3.0195595563517722E-3</v>
      </c>
      <c r="S54" s="2"/>
      <c r="T54" s="7">
        <v>9216.0579953100005</v>
      </c>
      <c r="U54" s="2"/>
      <c r="V54" s="6">
        <f t="shared" si="17"/>
        <v>2.3691093313709128E-3</v>
      </c>
      <c r="W54" s="2"/>
      <c r="X54" s="7">
        <f t="shared" si="18"/>
        <v>-2217.4879953100008</v>
      </c>
      <c r="Y54" s="2"/>
      <c r="Z54" s="6">
        <f t="shared" si="19"/>
        <v>-0.24061133257174247</v>
      </c>
    </row>
    <row r="55" spans="1:26" s="24" customFormat="1" hidden="1" outlineLevel="2" x14ac:dyDescent="0.25">
      <c r="A55" s="29"/>
      <c r="B55" s="11" t="str">
        <f>CONCATENATE("          ", "6113", " - ", "GROUP INSURANCE")</f>
        <v xml:space="preserve">          6113 - GROUP INSURANCE</v>
      </c>
      <c r="C55" s="11"/>
      <c r="D55" s="7">
        <v>17921.21</v>
      </c>
      <c r="E55" s="2"/>
      <c r="F55" s="6">
        <f t="shared" si="12"/>
        <v>3.0663237315516265E-2</v>
      </c>
      <c r="G55" s="2"/>
      <c r="H55" s="7">
        <v>16704.4230769231</v>
      </c>
      <c r="I55" s="2"/>
      <c r="J55" s="6">
        <f t="shared" si="13"/>
        <v>2.0405613694433063E-2</v>
      </c>
      <c r="K55" s="2"/>
      <c r="L55" s="7">
        <f t="shared" si="14"/>
        <v>1216.7869230768993</v>
      </c>
      <c r="M55" s="2"/>
      <c r="N55" s="6">
        <f t="shared" si="15"/>
        <v>7.2842199785868172E-2</v>
      </c>
      <c r="O55" s="11"/>
      <c r="P55" s="7">
        <v>53714.21</v>
      </c>
      <c r="Q55" s="2"/>
      <c r="R55" s="6">
        <f t="shared" si="16"/>
        <v>2.3175199521814589E-2</v>
      </c>
      <c r="S55" s="2"/>
      <c r="T55" s="7">
        <v>53158.5</v>
      </c>
      <c r="U55" s="2"/>
      <c r="V55" s="6">
        <f t="shared" si="17"/>
        <v>1.3665093954027846E-2</v>
      </c>
      <c r="W55" s="2"/>
      <c r="X55" s="7">
        <f t="shared" si="18"/>
        <v>555.70999999999913</v>
      </c>
      <c r="Y55" s="2"/>
      <c r="Z55" s="6">
        <f t="shared" si="19"/>
        <v>1.0453831466275368E-2</v>
      </c>
    </row>
    <row r="56" spans="1:26" s="24" customFormat="1" hidden="1" outlineLevel="2" x14ac:dyDescent="0.25">
      <c r="A56" s="29"/>
      <c r="B56" s="11" t="str">
        <f>CONCATENATE("          ", "6114", " - ", "STATE UNEMPLOYMENT INSURANCE")</f>
        <v xml:space="preserve">          6114 - STATE UNEMPLOYMENT INSURANCE</v>
      </c>
      <c r="C56" s="11"/>
      <c r="D56" s="7">
        <v>449.18</v>
      </c>
      <c r="E56" s="2"/>
      <c r="F56" s="6">
        <f t="shared" si="12"/>
        <v>7.6854815815358439E-4</v>
      </c>
      <c r="G56" s="2"/>
      <c r="H56" s="7">
        <v>363.64400631461598</v>
      </c>
      <c r="I56" s="2"/>
      <c r="J56" s="6">
        <f t="shared" si="13"/>
        <v>4.4421642585209479E-4</v>
      </c>
      <c r="K56" s="2"/>
      <c r="L56" s="7">
        <f t="shared" si="14"/>
        <v>85.535993685384028</v>
      </c>
      <c r="M56" s="2"/>
      <c r="N56" s="6">
        <f t="shared" si="15"/>
        <v>0.23521903895036389</v>
      </c>
      <c r="O56" s="11"/>
      <c r="P56" s="7">
        <v>1267.29</v>
      </c>
      <c r="Q56" s="2"/>
      <c r="R56" s="6">
        <f t="shared" si="16"/>
        <v>5.4677707448364985E-4</v>
      </c>
      <c r="S56" s="2"/>
      <c r="T56" s="7">
        <v>1240.62319167635</v>
      </c>
      <c r="U56" s="2"/>
      <c r="V56" s="6">
        <f t="shared" si="17"/>
        <v>3.1891856383839309E-4</v>
      </c>
      <c r="W56" s="2"/>
      <c r="X56" s="7">
        <f t="shared" si="18"/>
        <v>26.666808323650002</v>
      </c>
      <c r="Y56" s="2"/>
      <c r="Z56" s="6">
        <f t="shared" si="19"/>
        <v>2.1494687913755171E-2</v>
      </c>
    </row>
    <row r="57" spans="1:26" s="24" customFormat="1" hidden="1" outlineLevel="2" x14ac:dyDescent="0.25">
      <c r="A57" s="29"/>
      <c r="B57" s="11" t="str">
        <f>CONCATENATE("          ", "6115", " - ", "P.E.R.S.")</f>
        <v xml:space="preserve">          6115 - P.E.R.S.</v>
      </c>
      <c r="C57" s="11"/>
      <c r="D57" s="7">
        <v>6296.23</v>
      </c>
      <c r="E57" s="2"/>
      <c r="F57" s="6">
        <f t="shared" si="12"/>
        <v>1.0772866044372728E-2</v>
      </c>
      <c r="G57" s="2"/>
      <c r="H57" s="7">
        <v>4546.0697816461497</v>
      </c>
      <c r="I57" s="2"/>
      <c r="J57" s="6">
        <f t="shared" si="13"/>
        <v>5.5533401761334025E-3</v>
      </c>
      <c r="K57" s="2"/>
      <c r="L57" s="7">
        <f t="shared" si="14"/>
        <v>1750.1602183538498</v>
      </c>
      <c r="M57" s="2"/>
      <c r="N57" s="6">
        <f t="shared" si="15"/>
        <v>0.38498313981447729</v>
      </c>
      <c r="O57" s="11"/>
      <c r="P57" s="7">
        <v>18888.689999999999</v>
      </c>
      <c r="Q57" s="2"/>
      <c r="R57" s="6">
        <f t="shared" si="16"/>
        <v>8.1495969028624639E-3</v>
      </c>
      <c r="S57" s="2"/>
      <c r="T57" s="7">
        <v>15518.2877518884</v>
      </c>
      <c r="U57" s="2"/>
      <c r="V57" s="6">
        <f t="shared" si="17"/>
        <v>3.9891806603872294E-3</v>
      </c>
      <c r="W57" s="2"/>
      <c r="X57" s="7">
        <f t="shared" si="18"/>
        <v>3370.402248111599</v>
      </c>
      <c r="Y57" s="2"/>
      <c r="Z57" s="6">
        <f t="shared" si="19"/>
        <v>0.2171890547461629</v>
      </c>
    </row>
    <row r="58" spans="1:26" s="24" customFormat="1" hidden="1" outlineLevel="2" x14ac:dyDescent="0.25">
      <c r="A58" s="29"/>
      <c r="B58" s="11" t="str">
        <f>CONCATENATE("          ", "6116", " - ", "EDUCATIONAL BENEFITS")</f>
        <v xml:space="preserve">          6116 - EDUCATIONAL BENEFITS</v>
      </c>
      <c r="C58" s="11"/>
      <c r="D58" s="7"/>
      <c r="E58" s="2"/>
      <c r="F58" s="6">
        <f t="shared" si="12"/>
        <v>0</v>
      </c>
      <c r="G58" s="2"/>
      <c r="H58" s="7">
        <v>0</v>
      </c>
      <c r="I58" s="2"/>
      <c r="J58" s="6">
        <f t="shared" si="13"/>
        <v>0</v>
      </c>
      <c r="K58" s="2"/>
      <c r="L58" s="7">
        <f t="shared" si="14"/>
        <v>0</v>
      </c>
      <c r="M58" s="2"/>
      <c r="N58" s="6">
        <f t="shared" si="15"/>
        <v>0</v>
      </c>
      <c r="O58" s="11"/>
      <c r="P58" s="7"/>
      <c r="Q58" s="2"/>
      <c r="R58" s="6">
        <f t="shared" si="16"/>
        <v>0</v>
      </c>
      <c r="S58" s="2"/>
      <c r="T58" s="7">
        <v>0</v>
      </c>
      <c r="U58" s="2"/>
      <c r="V58" s="6">
        <f t="shared" si="17"/>
        <v>0</v>
      </c>
      <c r="W58" s="2"/>
      <c r="X58" s="7">
        <f t="shared" si="18"/>
        <v>0</v>
      </c>
      <c r="Y58" s="2"/>
      <c r="Z58" s="6">
        <f t="shared" si="19"/>
        <v>0</v>
      </c>
    </row>
    <row r="59" spans="1:26" s="24" customFormat="1" hidden="1" outlineLevel="2" x14ac:dyDescent="0.25">
      <c r="A59" s="29"/>
      <c r="B59" s="11" t="str">
        <f>CONCATENATE("          ", "6117", " - ", "RETIREMENT STAFF HOURLY")</f>
        <v xml:space="preserve">          6117 - RETIREMENT STAFF HOURLY</v>
      </c>
      <c r="C59" s="11"/>
      <c r="D59" s="7">
        <v>424.12</v>
      </c>
      <c r="E59" s="2"/>
      <c r="F59" s="6">
        <f t="shared" si="12"/>
        <v>7.2567043242374588E-4</v>
      </c>
      <c r="G59" s="2"/>
      <c r="H59" s="7"/>
      <c r="I59" s="2"/>
      <c r="J59" s="6">
        <f t="shared" si="13"/>
        <v>0</v>
      </c>
      <c r="K59" s="2"/>
      <c r="L59" s="7">
        <f t="shared" si="14"/>
        <v>424.12</v>
      </c>
      <c r="M59" s="2"/>
      <c r="N59" s="6">
        <f t="shared" si="15"/>
        <v>0</v>
      </c>
      <c r="O59" s="11"/>
      <c r="P59" s="7">
        <v>1939.65</v>
      </c>
      <c r="Q59" s="2"/>
      <c r="R59" s="6">
        <f t="shared" si="16"/>
        <v>8.3686934523448582E-4</v>
      </c>
      <c r="S59" s="2"/>
      <c r="T59" s="7"/>
      <c r="U59" s="2"/>
      <c r="V59" s="6">
        <f t="shared" si="17"/>
        <v>0</v>
      </c>
      <c r="W59" s="2"/>
      <c r="X59" s="7">
        <f t="shared" si="18"/>
        <v>1939.65</v>
      </c>
      <c r="Y59" s="2"/>
      <c r="Z59" s="6">
        <f t="shared" si="19"/>
        <v>0</v>
      </c>
    </row>
    <row r="60" spans="1:26" s="24" customFormat="1" hidden="1" outlineLevel="2" x14ac:dyDescent="0.25">
      <c r="A60" s="29"/>
      <c r="B60" s="11" t="str">
        <f>CONCATENATE("          ", "6118", " - ", "VACATION")</f>
        <v xml:space="preserve">          6118 - VACATION</v>
      </c>
      <c r="C60" s="11"/>
      <c r="D60" s="7">
        <v>4674.6000000000004</v>
      </c>
      <c r="E60" s="2"/>
      <c r="F60" s="6">
        <f t="shared" si="12"/>
        <v>7.9982528610017048E-3</v>
      </c>
      <c r="G60" s="2"/>
      <c r="H60" s="7">
        <v>4177.4530034384597</v>
      </c>
      <c r="I60" s="2"/>
      <c r="J60" s="6">
        <f t="shared" si="13"/>
        <v>5.1030491638215823E-3</v>
      </c>
      <c r="K60" s="2"/>
      <c r="L60" s="7">
        <f t="shared" si="14"/>
        <v>497.14699656154062</v>
      </c>
      <c r="M60" s="2"/>
      <c r="N60" s="6">
        <f t="shared" si="15"/>
        <v>0.11900720275065671</v>
      </c>
      <c r="O60" s="11"/>
      <c r="P60" s="7">
        <v>15625.33</v>
      </c>
      <c r="Q60" s="2"/>
      <c r="R60" s="6">
        <f t="shared" si="16"/>
        <v>6.7416078602700324E-3</v>
      </c>
      <c r="S60" s="2"/>
      <c r="T60" s="7">
        <v>14441.328030405801</v>
      </c>
      <c r="U60" s="2"/>
      <c r="V60" s="6">
        <f t="shared" si="17"/>
        <v>3.7123339514175753E-3</v>
      </c>
      <c r="W60" s="2"/>
      <c r="X60" s="7">
        <f t="shared" si="18"/>
        <v>1184.0019695941992</v>
      </c>
      <c r="Y60" s="2"/>
      <c r="Z60" s="6">
        <f t="shared" si="19"/>
        <v>8.1987055975829726E-2</v>
      </c>
    </row>
    <row r="61" spans="1:26" s="24" customFormat="1" hidden="1" outlineLevel="2" x14ac:dyDescent="0.25">
      <c r="A61" s="29"/>
      <c r="B61" s="11" t="str">
        <f>CONCATENATE("          ", "6119", " - ", "SICK LEAVE")</f>
        <v xml:space="preserve">          6119 - SICK LEAVE</v>
      </c>
      <c r="C61" s="11"/>
      <c r="D61" s="7">
        <v>3898.37</v>
      </c>
      <c r="E61" s="2"/>
      <c r="F61" s="6">
        <f t="shared" si="12"/>
        <v>6.6701212950291385E-3</v>
      </c>
      <c r="G61" s="2"/>
      <c r="H61" s="7">
        <v>6346.97371487692</v>
      </c>
      <c r="I61" s="2"/>
      <c r="J61" s="6">
        <f t="shared" si="13"/>
        <v>7.7532694878532258E-3</v>
      </c>
      <c r="K61" s="2"/>
      <c r="L61" s="7">
        <f t="shared" si="14"/>
        <v>-2448.6037148769201</v>
      </c>
      <c r="M61" s="2"/>
      <c r="N61" s="6">
        <f t="shared" si="15"/>
        <v>-0.38579074451459316</v>
      </c>
      <c r="O61" s="11"/>
      <c r="P61" s="7">
        <v>11670.47</v>
      </c>
      <c r="Q61" s="2"/>
      <c r="R61" s="6">
        <f t="shared" si="16"/>
        <v>5.0352685213717469E-3</v>
      </c>
      <c r="S61" s="2"/>
      <c r="T61" s="7">
        <v>21640.302457965401</v>
      </c>
      <c r="U61" s="2"/>
      <c r="V61" s="6">
        <f t="shared" si="17"/>
        <v>5.5629253323866727E-3</v>
      </c>
      <c r="W61" s="2"/>
      <c r="X61" s="7">
        <f t="shared" si="18"/>
        <v>-9969.8324579654018</v>
      </c>
      <c r="Y61" s="2"/>
      <c r="Z61" s="6">
        <f t="shared" si="19"/>
        <v>-0.4607067058018724</v>
      </c>
    </row>
    <row r="62" spans="1:26" s="24" customFormat="1" hidden="1" outlineLevel="2" x14ac:dyDescent="0.25">
      <c r="A62" s="29"/>
      <c r="B62" s="11" t="str">
        <f>CONCATENATE("          ", "6156", " - ", "EMPLOYEE MEALS")</f>
        <v xml:space="preserve">          6156 - EMPLOYEE MEALS</v>
      </c>
      <c r="C62" s="11"/>
      <c r="D62" s="7">
        <v>2341.94</v>
      </c>
      <c r="E62" s="2"/>
      <c r="F62" s="6">
        <f t="shared" si="12"/>
        <v>4.0070654826711016E-3</v>
      </c>
      <c r="G62" s="2"/>
      <c r="H62" s="7">
        <v>2450</v>
      </c>
      <c r="I62" s="2"/>
      <c r="J62" s="6">
        <f t="shared" si="13"/>
        <v>2.9928452674565335E-3</v>
      </c>
      <c r="K62" s="2"/>
      <c r="L62" s="7">
        <f t="shared" si="14"/>
        <v>-108.05999999999995</v>
      </c>
      <c r="M62" s="2"/>
      <c r="N62" s="6">
        <f t="shared" si="15"/>
        <v>-4.4106122448979566E-2</v>
      </c>
      <c r="O62" s="11"/>
      <c r="P62" s="7">
        <v>5961.22</v>
      </c>
      <c r="Q62" s="2"/>
      <c r="R62" s="6">
        <f t="shared" si="16"/>
        <v>2.5719909665139185E-3</v>
      </c>
      <c r="S62" s="2"/>
      <c r="T62" s="7">
        <v>7350</v>
      </c>
      <c r="U62" s="2"/>
      <c r="V62" s="6">
        <f t="shared" si="17"/>
        <v>1.8894144974388794E-3</v>
      </c>
      <c r="W62" s="2"/>
      <c r="X62" s="7">
        <f t="shared" si="18"/>
        <v>-1388.7799999999997</v>
      </c>
      <c r="Y62" s="2"/>
      <c r="Z62" s="6">
        <f t="shared" si="19"/>
        <v>-0.18894965986394555</v>
      </c>
    </row>
    <row r="63" spans="1:26" s="28" customFormat="1" outlineLevel="1" collapsed="1" x14ac:dyDescent="0.25">
      <c r="A63" s="27"/>
      <c r="B63" s="14" t="str">
        <f>CONCATENATE("     ","*Payroll                                          ")</f>
        <v xml:space="preserve">     *Payroll                                          </v>
      </c>
      <c r="C63" s="14"/>
      <c r="D63" s="1">
        <f>SUM(OSRRefD22_1x_0)</f>
        <v>158667.88</v>
      </c>
      <c r="E63" s="1"/>
      <c r="F63" s="5">
        <f t="shared" ref="F63:F73" si="20">IF(D$12=0,0,D63/D$12)</f>
        <v>0.27148115884975721</v>
      </c>
      <c r="G63" s="1"/>
      <c r="H63" s="1">
        <f>SUM(OSRRefH22_1x_0)</f>
        <v>166000.92554525379</v>
      </c>
      <c r="I63" s="1"/>
      <c r="J63" s="5">
        <f t="shared" ref="J63:J73" si="21">IF(H$12=0,0,H63/H$12)</f>
        <v>0.2027816671067417</v>
      </c>
      <c r="K63" s="1"/>
      <c r="L63" s="1">
        <f t="shared" ref="L63:L73" si="22">+D63-H63</f>
        <v>-7333.0455452537863</v>
      </c>
      <c r="M63" s="1"/>
      <c r="N63" s="5">
        <f t="shared" ref="N63:N73" si="23">IF(H63=0,0,L63/H63)</f>
        <v>-4.4174726864728911E-2</v>
      </c>
      <c r="O63" s="14"/>
      <c r="P63" s="1">
        <f>SUM(OSRRefP22_1x_0)</f>
        <v>511533.79000000004</v>
      </c>
      <c r="Q63" s="1"/>
      <c r="R63" s="5">
        <f t="shared" ref="R63:R73" si="24">IF(P$12=0,0,P63/P$12)</f>
        <v>0.2207031927938623</v>
      </c>
      <c r="S63" s="1"/>
      <c r="T63" s="1">
        <f>SUM(OSRRefT22_1x_0)</f>
        <v>566333.84956053598</v>
      </c>
      <c r="U63" s="1"/>
      <c r="V63" s="5">
        <f t="shared" ref="V63:V73" si="25">IF(T$12=0,0,T63/T$12)</f>
        <v>0.14558358989796544</v>
      </c>
      <c r="W63" s="1"/>
      <c r="X63" s="1">
        <f t="shared" ref="X63:X73" si="26">+P63-T63</f>
        <v>-54800.059560535941</v>
      </c>
      <c r="Y63" s="1"/>
      <c r="Z63" s="5">
        <f t="shared" ref="Z63:Z73" si="27">IF(T63=0,0,X63/T63)</f>
        <v>-9.6762818614956031E-2</v>
      </c>
    </row>
    <row r="64" spans="1:26" s="24" customFormat="1" hidden="1" outlineLevel="2" x14ac:dyDescent="0.25">
      <c r="A64" s="29"/>
      <c r="B64" s="11" t="str">
        <f>CONCATENATE("          ", "6001", " - ", "ADMINISTRATIVE SALARIES")</f>
        <v xml:space="preserve">          6001 - ADMINISTRATIVE SALARIES</v>
      </c>
      <c r="C64" s="11"/>
      <c r="D64" s="7">
        <v>4479.1000000000004</v>
      </c>
      <c r="E64" s="2"/>
      <c r="F64" s="6">
        <f t="shared" si="20"/>
        <v>7.6637518482250318E-3</v>
      </c>
      <c r="G64" s="2"/>
      <c r="H64" s="7">
        <v>4139.8076923076896</v>
      </c>
      <c r="I64" s="2"/>
      <c r="J64" s="6">
        <f t="shared" si="21"/>
        <v>5.0570628000421317E-3</v>
      </c>
      <c r="K64" s="2"/>
      <c r="L64" s="7">
        <f t="shared" si="22"/>
        <v>339.29230769231071</v>
      </c>
      <c r="M64" s="2"/>
      <c r="N64" s="6">
        <f t="shared" si="23"/>
        <v>8.1958470757653959E-2</v>
      </c>
      <c r="O64" s="11"/>
      <c r="P64" s="7">
        <v>14557.3</v>
      </c>
      <c r="Q64" s="2"/>
      <c r="R64" s="6">
        <f t="shared" si="24"/>
        <v>6.2808022681318694E-3</v>
      </c>
      <c r="S64" s="2"/>
      <c r="T64" s="7">
        <v>13454.375</v>
      </c>
      <c r="U64" s="2"/>
      <c r="V64" s="6">
        <f t="shared" si="25"/>
        <v>3.4586246502012548E-3</v>
      </c>
      <c r="W64" s="2"/>
      <c r="X64" s="7">
        <f t="shared" si="26"/>
        <v>1102.9249999999993</v>
      </c>
      <c r="Y64" s="2"/>
      <c r="Z64" s="6">
        <f t="shared" si="27"/>
        <v>8.1975193942490768E-2</v>
      </c>
    </row>
    <row r="65" spans="1:26" s="24" customFormat="1" hidden="1" outlineLevel="2" x14ac:dyDescent="0.25">
      <c r="A65" s="29"/>
      <c r="B65" s="11" t="str">
        <f>CONCATENATE("          ", "6002", " - ", "STAFF SALARIES")</f>
        <v xml:space="preserve">          6002 - STAFF SALARIES</v>
      </c>
      <c r="C65" s="11"/>
      <c r="D65" s="7">
        <v>59317.32</v>
      </c>
      <c r="E65" s="2"/>
      <c r="F65" s="6">
        <f t="shared" si="20"/>
        <v>0.10149209010331442</v>
      </c>
      <c r="G65" s="2"/>
      <c r="H65" s="7">
        <v>43333.693084946099</v>
      </c>
      <c r="I65" s="2"/>
      <c r="J65" s="6">
        <f t="shared" si="21"/>
        <v>5.2935117661508102E-2</v>
      </c>
      <c r="K65" s="2"/>
      <c r="L65" s="7">
        <f t="shared" si="22"/>
        <v>15983.626915053901</v>
      </c>
      <c r="M65" s="2"/>
      <c r="N65" s="6">
        <f t="shared" si="23"/>
        <v>0.36884986663198871</v>
      </c>
      <c r="O65" s="11"/>
      <c r="P65" s="7">
        <v>186603.07</v>
      </c>
      <c r="Q65" s="2"/>
      <c r="R65" s="6">
        <f t="shared" si="24"/>
        <v>8.0510601917688718E-2</v>
      </c>
      <c r="S65" s="2"/>
      <c r="T65" s="7">
        <v>148183.65156453601</v>
      </c>
      <c r="U65" s="2"/>
      <c r="V65" s="6">
        <f t="shared" si="25"/>
        <v>3.8092563204008952E-2</v>
      </c>
      <c r="W65" s="2"/>
      <c r="X65" s="7">
        <f t="shared" si="26"/>
        <v>38419.418435464002</v>
      </c>
      <c r="Y65" s="2"/>
      <c r="Z65" s="6">
        <f t="shared" si="27"/>
        <v>0.25926894114045923</v>
      </c>
    </row>
    <row r="66" spans="1:26" s="24" customFormat="1" hidden="1" outlineLevel="2" x14ac:dyDescent="0.25">
      <c r="A66" s="29"/>
      <c r="B66" s="11" t="str">
        <f>CONCATENATE("          ", "6003", " - ", "STAFF HOURLY-9 MONTH")</f>
        <v xml:space="preserve">          6003 - STAFF HOURLY-9 MONTH</v>
      </c>
      <c r="C66" s="11"/>
      <c r="D66" s="7"/>
      <c r="E66" s="2"/>
      <c r="F66" s="6">
        <f t="shared" si="20"/>
        <v>0</v>
      </c>
      <c r="G66" s="2"/>
      <c r="H66" s="7">
        <v>0</v>
      </c>
      <c r="I66" s="2"/>
      <c r="J66" s="6">
        <f t="shared" si="21"/>
        <v>0</v>
      </c>
      <c r="K66" s="2"/>
      <c r="L66" s="7">
        <f t="shared" si="22"/>
        <v>0</v>
      </c>
      <c r="M66" s="2"/>
      <c r="N66" s="6">
        <f t="shared" si="23"/>
        <v>0</v>
      </c>
      <c r="O66" s="11"/>
      <c r="P66" s="7"/>
      <c r="Q66" s="2"/>
      <c r="R66" s="6">
        <f t="shared" si="24"/>
        <v>0</v>
      </c>
      <c r="S66" s="2"/>
      <c r="T66" s="7">
        <v>0</v>
      </c>
      <c r="U66" s="2"/>
      <c r="V66" s="6">
        <f t="shared" si="25"/>
        <v>0</v>
      </c>
      <c r="W66" s="2"/>
      <c r="X66" s="7">
        <f t="shared" si="26"/>
        <v>0</v>
      </c>
      <c r="Y66" s="2"/>
      <c r="Z66" s="6">
        <f t="shared" si="27"/>
        <v>0</v>
      </c>
    </row>
    <row r="67" spans="1:26" s="24" customFormat="1" hidden="1" outlineLevel="2" x14ac:dyDescent="0.25">
      <c r="A67" s="29"/>
      <c r="B67" s="11" t="str">
        <f>CONCATENATE("          ", "6004", " - ", "STAFF HOURLY")</f>
        <v xml:space="preserve">          6004 - STAFF HOURLY</v>
      </c>
      <c r="C67" s="11"/>
      <c r="D67" s="7">
        <v>21848.69</v>
      </c>
      <c r="E67" s="2"/>
      <c r="F67" s="6">
        <f t="shared" si="20"/>
        <v>3.7383165896897982E-2</v>
      </c>
      <c r="G67" s="2"/>
      <c r="H67" s="7">
        <v>33498.414768000002</v>
      </c>
      <c r="I67" s="2"/>
      <c r="J67" s="6">
        <f t="shared" si="21"/>
        <v>4.0920641675797904E-2</v>
      </c>
      <c r="K67" s="2"/>
      <c r="L67" s="7">
        <f t="shared" si="22"/>
        <v>-11649.724768000004</v>
      </c>
      <c r="M67" s="2"/>
      <c r="N67" s="6">
        <f t="shared" si="23"/>
        <v>-0.34776943472347904</v>
      </c>
      <c r="O67" s="11"/>
      <c r="P67" s="7">
        <v>59611.89</v>
      </c>
      <c r="Q67" s="2"/>
      <c r="R67" s="6">
        <f t="shared" si="24"/>
        <v>2.571977591446405E-2</v>
      </c>
      <c r="S67" s="2"/>
      <c r="T67" s="7">
        <v>108869.847996</v>
      </c>
      <c r="U67" s="2"/>
      <c r="V67" s="6">
        <f t="shared" si="25"/>
        <v>2.798643117518497E-2</v>
      </c>
      <c r="W67" s="2"/>
      <c r="X67" s="7">
        <f t="shared" si="26"/>
        <v>-49257.957995999997</v>
      </c>
      <c r="Y67" s="2"/>
      <c r="Z67" s="6">
        <f t="shared" si="27"/>
        <v>-0.45244811949962299</v>
      </c>
    </row>
    <row r="68" spans="1:26" s="24" customFormat="1" hidden="1" outlineLevel="2" x14ac:dyDescent="0.25">
      <c r="A68" s="29"/>
      <c r="B68" s="11" t="str">
        <f>CONCATENATE("          ", "6005", " - ", "TEMPORARY WAGES-HOURLY")</f>
        <v xml:space="preserve">          6005 - TEMPORARY WAGES-HOURLY</v>
      </c>
      <c r="C68" s="11"/>
      <c r="D68" s="7">
        <v>8688.1200000000008</v>
      </c>
      <c r="E68" s="2"/>
      <c r="F68" s="6">
        <f t="shared" si="20"/>
        <v>1.4865396108057616E-2</v>
      </c>
      <c r="G68" s="2"/>
      <c r="H68" s="7">
        <v>3455</v>
      </c>
      <c r="I68" s="2"/>
      <c r="J68" s="6">
        <f t="shared" si="21"/>
        <v>4.2205226118621729E-3</v>
      </c>
      <c r="K68" s="2"/>
      <c r="L68" s="7">
        <f t="shared" si="22"/>
        <v>5233.1200000000008</v>
      </c>
      <c r="M68" s="2"/>
      <c r="N68" s="6">
        <f t="shared" si="23"/>
        <v>1.5146512301013026</v>
      </c>
      <c r="O68" s="11"/>
      <c r="P68" s="7">
        <v>27758.71</v>
      </c>
      <c r="Q68" s="2"/>
      <c r="R68" s="6">
        <f t="shared" si="24"/>
        <v>1.1976600655919352E-2</v>
      </c>
      <c r="S68" s="2"/>
      <c r="T68" s="7">
        <v>11646</v>
      </c>
      <c r="U68" s="2"/>
      <c r="V68" s="6">
        <f t="shared" si="25"/>
        <v>2.9937579914521345E-3</v>
      </c>
      <c r="W68" s="2"/>
      <c r="X68" s="7">
        <f t="shared" si="26"/>
        <v>16112.71</v>
      </c>
      <c r="Y68" s="2"/>
      <c r="Z68" s="6">
        <f t="shared" si="27"/>
        <v>1.3835402713377982</v>
      </c>
    </row>
    <row r="69" spans="1:26" s="24" customFormat="1" hidden="1" outlineLevel="2" x14ac:dyDescent="0.25">
      <c r="A69" s="29"/>
      <c r="B69" s="11" t="str">
        <f>CONCATENATE("          ", "6006", " - ", "TEMPORARY PART TIME")</f>
        <v xml:space="preserve">          6006 - TEMPORARY PART TIME</v>
      </c>
      <c r="C69" s="11"/>
      <c r="D69" s="7">
        <v>2957.46</v>
      </c>
      <c r="E69" s="2"/>
      <c r="F69" s="6">
        <f t="shared" si="20"/>
        <v>5.0602218171176359E-3</v>
      </c>
      <c r="G69" s="2"/>
      <c r="H69" s="7">
        <v>0</v>
      </c>
      <c r="I69" s="2"/>
      <c r="J69" s="6">
        <f t="shared" si="21"/>
        <v>0</v>
      </c>
      <c r="K69" s="2"/>
      <c r="L69" s="7">
        <f t="shared" si="22"/>
        <v>2957.46</v>
      </c>
      <c r="M69" s="2"/>
      <c r="N69" s="6">
        <f t="shared" si="23"/>
        <v>0</v>
      </c>
      <c r="O69" s="11"/>
      <c r="P69" s="7">
        <v>9095.65</v>
      </c>
      <c r="Q69" s="2"/>
      <c r="R69" s="6">
        <f t="shared" si="24"/>
        <v>3.9243526718645378E-3</v>
      </c>
      <c r="S69" s="2"/>
      <c r="T69" s="7">
        <v>0</v>
      </c>
      <c r="U69" s="2"/>
      <c r="V69" s="6">
        <f t="shared" si="25"/>
        <v>0</v>
      </c>
      <c r="W69" s="2"/>
      <c r="X69" s="7">
        <f t="shared" si="26"/>
        <v>9095.65</v>
      </c>
      <c r="Y69" s="2"/>
      <c r="Z69" s="6">
        <f t="shared" si="27"/>
        <v>0</v>
      </c>
    </row>
    <row r="70" spans="1:26" s="24" customFormat="1" hidden="1" outlineLevel="2" x14ac:dyDescent="0.25">
      <c r="A70" s="29"/>
      <c r="B70" s="11" t="str">
        <f>CONCATENATE("          ", "6007", " - ", "STUDENT HOURLY")</f>
        <v xml:space="preserve">          6007 - STUDENT HOURLY</v>
      </c>
      <c r="C70" s="11"/>
      <c r="D70" s="7">
        <v>51710.95</v>
      </c>
      <c r="E70" s="2"/>
      <c r="F70" s="6">
        <f t="shared" si="20"/>
        <v>8.8477571082577339E-2</v>
      </c>
      <c r="G70" s="2"/>
      <c r="H70" s="7">
        <v>28753.599999999999</v>
      </c>
      <c r="I70" s="2"/>
      <c r="J70" s="6">
        <f t="shared" si="21"/>
        <v>3.5124520686668645E-2</v>
      </c>
      <c r="K70" s="2"/>
      <c r="L70" s="7">
        <f t="shared" si="22"/>
        <v>22957.35</v>
      </c>
      <c r="M70" s="2"/>
      <c r="N70" s="6">
        <f t="shared" si="23"/>
        <v>0.79841654610205326</v>
      </c>
      <c r="O70" s="11"/>
      <c r="P70" s="7">
        <v>180177.28</v>
      </c>
      <c r="Q70" s="2"/>
      <c r="R70" s="6">
        <f t="shared" si="24"/>
        <v>7.7738170463604581E-2</v>
      </c>
      <c r="S70" s="2"/>
      <c r="T70" s="7">
        <v>123073.88</v>
      </c>
      <c r="U70" s="2"/>
      <c r="V70" s="6">
        <f t="shared" si="25"/>
        <v>3.1637765051435777E-2</v>
      </c>
      <c r="W70" s="2"/>
      <c r="X70" s="7">
        <f t="shared" si="26"/>
        <v>57103.399999999994</v>
      </c>
      <c r="Y70" s="2"/>
      <c r="Z70" s="6">
        <f t="shared" si="27"/>
        <v>0.46397659682135634</v>
      </c>
    </row>
    <row r="71" spans="1:26" s="24" customFormat="1" hidden="1" outlineLevel="2" x14ac:dyDescent="0.25">
      <c r="A71" s="29"/>
      <c r="B71" s="11" t="str">
        <f>CONCATENATE("          ", "6008", " - ", "STUDENT HOURLY-FICA EXEMPT")</f>
        <v xml:space="preserve">          6008 - STUDENT HOURLY-FICA EXEMPT</v>
      </c>
      <c r="C71" s="11"/>
      <c r="D71" s="7">
        <v>9666.24</v>
      </c>
      <c r="E71" s="2"/>
      <c r="F71" s="6">
        <f t="shared" si="20"/>
        <v>1.6538961993567174E-2</v>
      </c>
      <c r="G71" s="2"/>
      <c r="H71" s="7">
        <v>52820.41</v>
      </c>
      <c r="I71" s="2"/>
      <c r="J71" s="6">
        <f t="shared" si="21"/>
        <v>6.452380167086276E-2</v>
      </c>
      <c r="K71" s="2"/>
      <c r="L71" s="7">
        <f t="shared" si="22"/>
        <v>-43154.170000000006</v>
      </c>
      <c r="M71" s="2"/>
      <c r="N71" s="6">
        <f t="shared" si="23"/>
        <v>-0.81699801270001504</v>
      </c>
      <c r="O71" s="11"/>
      <c r="P71" s="7">
        <v>33729.89</v>
      </c>
      <c r="Q71" s="2"/>
      <c r="R71" s="6">
        <f t="shared" si="24"/>
        <v>1.4552888902189174E-2</v>
      </c>
      <c r="S71" s="2"/>
      <c r="T71" s="7">
        <v>161106.095</v>
      </c>
      <c r="U71" s="2"/>
      <c r="V71" s="6">
        <f t="shared" si="25"/>
        <v>4.1414447825682363E-2</v>
      </c>
      <c r="W71" s="2"/>
      <c r="X71" s="7">
        <f t="shared" si="26"/>
        <v>-127376.205</v>
      </c>
      <c r="Y71" s="2"/>
      <c r="Z71" s="6">
        <f t="shared" si="27"/>
        <v>-0.79063554361490795</v>
      </c>
    </row>
    <row r="72" spans="1:26" s="24" customFormat="1" hidden="1" outlineLevel="2" x14ac:dyDescent="0.25">
      <c r="A72" s="29"/>
      <c r="B72" s="11" t="str">
        <f>CONCATENATE("          ", "6009", " - ", "TEMPORARY-SEASONAL")</f>
        <v xml:space="preserve">          6009 - TEMPORARY-SEASONAL</v>
      </c>
      <c r="C72" s="11"/>
      <c r="D72" s="7"/>
      <c r="E72" s="2"/>
      <c r="F72" s="6">
        <f t="shared" si="20"/>
        <v>0</v>
      </c>
      <c r="G72" s="2"/>
      <c r="H72" s="7">
        <v>0</v>
      </c>
      <c r="I72" s="2"/>
      <c r="J72" s="6">
        <f t="shared" si="21"/>
        <v>0</v>
      </c>
      <c r="K72" s="2"/>
      <c r="L72" s="7">
        <f t="shared" si="22"/>
        <v>0</v>
      </c>
      <c r="M72" s="2"/>
      <c r="N72" s="6">
        <f t="shared" si="23"/>
        <v>0</v>
      </c>
      <c r="O72" s="11"/>
      <c r="P72" s="7"/>
      <c r="Q72" s="2"/>
      <c r="R72" s="6">
        <f t="shared" si="24"/>
        <v>0</v>
      </c>
      <c r="S72" s="2"/>
      <c r="T72" s="7">
        <v>0</v>
      </c>
      <c r="U72" s="2"/>
      <c r="V72" s="6">
        <f t="shared" si="25"/>
        <v>0</v>
      </c>
      <c r="W72" s="2"/>
      <c r="X72" s="7">
        <f t="shared" si="26"/>
        <v>0</v>
      </c>
      <c r="Y72" s="2"/>
      <c r="Z72" s="6">
        <f t="shared" si="27"/>
        <v>0</v>
      </c>
    </row>
    <row r="73" spans="1:26" s="24" customFormat="1" hidden="1" outlineLevel="2" x14ac:dyDescent="0.25">
      <c r="A73" s="29"/>
      <c r="B73" s="11" t="str">
        <f>CONCATENATE("          ", "6010", " - ", "GRATUITY")</f>
        <v xml:space="preserve">          6010 - GRATUITY</v>
      </c>
      <c r="C73" s="11"/>
      <c r="D73" s="7"/>
      <c r="E73" s="2"/>
      <c r="F73" s="6">
        <f t="shared" si="20"/>
        <v>0</v>
      </c>
      <c r="G73" s="2"/>
      <c r="H73" s="7">
        <v>0</v>
      </c>
      <c r="I73" s="2"/>
      <c r="J73" s="6">
        <f t="shared" si="21"/>
        <v>0</v>
      </c>
      <c r="K73" s="2"/>
      <c r="L73" s="7">
        <f t="shared" si="22"/>
        <v>0</v>
      </c>
      <c r="M73" s="2"/>
      <c r="N73" s="6">
        <f t="shared" si="23"/>
        <v>0</v>
      </c>
      <c r="O73" s="11"/>
      <c r="P73" s="7"/>
      <c r="Q73" s="2"/>
      <c r="R73" s="6">
        <f t="shared" si="24"/>
        <v>0</v>
      </c>
      <c r="S73" s="2"/>
      <c r="T73" s="7">
        <v>0</v>
      </c>
      <c r="U73" s="2"/>
      <c r="V73" s="6">
        <f t="shared" si="25"/>
        <v>0</v>
      </c>
      <c r="W73" s="2"/>
      <c r="X73" s="7">
        <f t="shared" si="26"/>
        <v>0</v>
      </c>
      <c r="Y73" s="2"/>
      <c r="Z73" s="6">
        <f t="shared" si="27"/>
        <v>0</v>
      </c>
    </row>
    <row r="74" spans="1:26" s="28" customFormat="1" outlineLevel="1" collapsed="1" x14ac:dyDescent="0.25">
      <c r="A74" s="27"/>
      <c r="B74" s="14" t="str">
        <f>CONCATENATE("     ","Advertising/Promo                                 ")</f>
        <v xml:space="preserve">     Advertising/Promo                                 </v>
      </c>
      <c r="C74" s="14"/>
      <c r="D74" s="1">
        <f>SUM(OSRRefD22_2x_0)</f>
        <v>163.18</v>
      </c>
      <c r="E74" s="1"/>
      <c r="F74" s="5">
        <f t="shared" ref="F74:F82" si="28">IF(D$12=0,0,D74/D$12)</f>
        <v>2.7920140800459037E-4</v>
      </c>
      <c r="G74" s="1"/>
      <c r="H74" s="1">
        <f>SUM(OSRRefH22_2x_0)</f>
        <v>300</v>
      </c>
      <c r="I74" s="1"/>
      <c r="J74" s="5">
        <f t="shared" ref="J74:J82" si="29">IF(H$12=0,0,H74/H$12)</f>
        <v>3.6647084907631022E-4</v>
      </c>
      <c r="K74" s="1"/>
      <c r="L74" s="1">
        <f t="shared" ref="L74:L82" si="30">+D74-H74</f>
        <v>-136.82</v>
      </c>
      <c r="M74" s="1"/>
      <c r="N74" s="5">
        <f t="shared" ref="N74:N82" si="31">IF(H74=0,0,L74/H74)</f>
        <v>-0.45606666666666662</v>
      </c>
      <c r="O74" s="14"/>
      <c r="P74" s="1">
        <f>SUM(OSRRefP22_2x_0)</f>
        <v>2199.35</v>
      </c>
      <c r="Q74" s="1"/>
      <c r="R74" s="5">
        <f t="shared" ref="R74:R82" si="32">IF(P$12=0,0,P74/P$12)</f>
        <v>9.4891789469309735E-4</v>
      </c>
      <c r="S74" s="1"/>
      <c r="T74" s="1">
        <f>SUM(OSRRefT22_2x_0)</f>
        <v>3900</v>
      </c>
      <c r="U74" s="1"/>
      <c r="V74" s="5">
        <f t="shared" ref="V74:V82" si="33">IF(T$12=0,0,T74/T$12)</f>
        <v>1.0025464680287932E-3</v>
      </c>
      <c r="W74" s="1"/>
      <c r="X74" s="1">
        <f t="shared" ref="X74:X82" si="34">+P74-T74</f>
        <v>-1700.65</v>
      </c>
      <c r="Y74" s="1"/>
      <c r="Z74" s="5">
        <f t="shared" ref="Z74:Z82" si="35">IF(T74=0,0,X74/T74)</f>
        <v>-0.43606410256410261</v>
      </c>
    </row>
    <row r="75" spans="1:26" s="24" customFormat="1" hidden="1" outlineLevel="2" x14ac:dyDescent="0.25">
      <c r="A75" s="29"/>
      <c r="B75" s="11" t="str">
        <f>CONCATENATE("          ", "6362", " - ", "ADVERTISING EXPENSE")</f>
        <v xml:space="preserve">          6362 - ADVERTISING EXPENSE</v>
      </c>
      <c r="C75" s="11"/>
      <c r="D75" s="7">
        <v>163.18</v>
      </c>
      <c r="E75" s="2"/>
      <c r="F75" s="6">
        <f t="shared" si="28"/>
        <v>2.7920140800459037E-4</v>
      </c>
      <c r="G75" s="2"/>
      <c r="H75" s="7">
        <v>300</v>
      </c>
      <c r="I75" s="2"/>
      <c r="J75" s="6">
        <f t="shared" si="29"/>
        <v>3.6647084907631022E-4</v>
      </c>
      <c r="K75" s="2"/>
      <c r="L75" s="7">
        <f t="shared" si="30"/>
        <v>-136.82</v>
      </c>
      <c r="M75" s="2"/>
      <c r="N75" s="6">
        <f t="shared" si="31"/>
        <v>-0.45606666666666662</v>
      </c>
      <c r="O75" s="11"/>
      <c r="P75" s="7">
        <v>2199.35</v>
      </c>
      <c r="Q75" s="2"/>
      <c r="R75" s="6">
        <f t="shared" si="32"/>
        <v>9.4891789469309735E-4</v>
      </c>
      <c r="S75" s="2"/>
      <c r="T75" s="7">
        <v>3900</v>
      </c>
      <c r="U75" s="2"/>
      <c r="V75" s="6">
        <f t="shared" si="33"/>
        <v>1.0025464680287932E-3</v>
      </c>
      <c r="W75" s="2"/>
      <c r="X75" s="7">
        <f t="shared" si="34"/>
        <v>-1700.65</v>
      </c>
      <c r="Y75" s="2"/>
      <c r="Z75" s="6">
        <f t="shared" si="35"/>
        <v>-0.43606410256410261</v>
      </c>
    </row>
    <row r="76" spans="1:26" s="28" customFormat="1" outlineLevel="1" collapsed="1" x14ac:dyDescent="0.25">
      <c r="A76" s="27"/>
      <c r="B76" s="14" t="str">
        <f>CONCATENATE("     ","Bad Debts/Over/Short                              ")</f>
        <v xml:space="preserve">     Bad Debts/Over/Short                              </v>
      </c>
      <c r="C76" s="14"/>
      <c r="D76" s="1">
        <f>SUM(OSRRefD22_3x_0)</f>
        <v>96.88</v>
      </c>
      <c r="E76" s="1"/>
      <c r="F76" s="5">
        <f t="shared" si="28"/>
        <v>1.6576193410641445E-4</v>
      </c>
      <c r="G76" s="1"/>
      <c r="H76" s="1">
        <f>SUM(OSRRefH22_3x_0)</f>
        <v>235</v>
      </c>
      <c r="I76" s="1"/>
      <c r="J76" s="5">
        <f t="shared" si="29"/>
        <v>2.8706883177644299E-4</v>
      </c>
      <c r="K76" s="1"/>
      <c r="L76" s="1">
        <f t="shared" si="30"/>
        <v>-138.12</v>
      </c>
      <c r="M76" s="1"/>
      <c r="N76" s="5">
        <f t="shared" si="31"/>
        <v>-0.58774468085106379</v>
      </c>
      <c r="O76" s="14"/>
      <c r="P76" s="1">
        <f>SUM(OSRRefP22_3x_0)</f>
        <v>248.91</v>
      </c>
      <c r="Q76" s="1"/>
      <c r="R76" s="5">
        <f t="shared" si="32"/>
        <v>1.0739316305638433E-4</v>
      </c>
      <c r="S76" s="1"/>
      <c r="T76" s="1">
        <f>SUM(OSRRefT22_3x_0)</f>
        <v>705</v>
      </c>
      <c r="U76" s="1"/>
      <c r="V76" s="5">
        <f t="shared" si="33"/>
        <v>1.8122955383597413E-4</v>
      </c>
      <c r="W76" s="1"/>
      <c r="X76" s="1">
        <f t="shared" si="34"/>
        <v>-456.09000000000003</v>
      </c>
      <c r="Y76" s="1"/>
      <c r="Z76" s="5">
        <f t="shared" si="35"/>
        <v>-0.64693617021276595</v>
      </c>
    </row>
    <row r="77" spans="1:26" s="24" customFormat="1" hidden="1" outlineLevel="2" x14ac:dyDescent="0.25">
      <c r="A77" s="29"/>
      <c r="B77" s="11" t="str">
        <f>CONCATENATE("          ", "6272", " - ", "CASH (OVER/SHORT)")</f>
        <v xml:space="preserve">          6272 - CASH (OVER/SHORT)</v>
      </c>
      <c r="C77" s="11"/>
      <c r="D77" s="7">
        <v>96.88</v>
      </c>
      <c r="E77" s="2"/>
      <c r="F77" s="6">
        <f t="shared" si="28"/>
        <v>1.6576193410641445E-4</v>
      </c>
      <c r="G77" s="2"/>
      <c r="H77" s="7">
        <v>235</v>
      </c>
      <c r="I77" s="2"/>
      <c r="J77" s="6">
        <f t="shared" si="29"/>
        <v>2.8706883177644299E-4</v>
      </c>
      <c r="K77" s="2"/>
      <c r="L77" s="7">
        <f t="shared" si="30"/>
        <v>-138.12</v>
      </c>
      <c r="M77" s="2"/>
      <c r="N77" s="6">
        <f t="shared" si="31"/>
        <v>-0.58774468085106379</v>
      </c>
      <c r="O77" s="11"/>
      <c r="P77" s="7">
        <v>248.91</v>
      </c>
      <c r="Q77" s="2"/>
      <c r="R77" s="6">
        <f t="shared" si="32"/>
        <v>1.0739316305638433E-4</v>
      </c>
      <c r="S77" s="2"/>
      <c r="T77" s="7">
        <v>705</v>
      </c>
      <c r="U77" s="2"/>
      <c r="V77" s="6">
        <f t="shared" si="33"/>
        <v>1.8122955383597413E-4</v>
      </c>
      <c r="W77" s="2"/>
      <c r="X77" s="7">
        <f t="shared" si="34"/>
        <v>-456.09000000000003</v>
      </c>
      <c r="Y77" s="2"/>
      <c r="Z77" s="6">
        <f t="shared" si="35"/>
        <v>-0.64693617021276595</v>
      </c>
    </row>
    <row r="78" spans="1:26" s="28" customFormat="1" outlineLevel="1" collapsed="1" x14ac:dyDescent="0.25">
      <c r="A78" s="27"/>
      <c r="B78" s="14" t="str">
        <f>CONCATENATE("     ","Bank/card Fees                                    ")</f>
        <v xml:space="preserve">     Bank/card Fees                                    </v>
      </c>
      <c r="C78" s="14"/>
      <c r="D78" s="1">
        <f>SUM(OSRRefD22_4x_0)</f>
        <v>10623.99</v>
      </c>
      <c r="E78" s="1"/>
      <c r="F78" s="5">
        <f t="shared" si="28"/>
        <v>1.8177674755648288E-2</v>
      </c>
      <c r="G78" s="1"/>
      <c r="H78" s="1">
        <f>SUM(OSRRefH22_4x_0)</f>
        <v>16839</v>
      </c>
      <c r="I78" s="1"/>
      <c r="J78" s="5">
        <f t="shared" si="29"/>
        <v>2.0570008758653294E-2</v>
      </c>
      <c r="K78" s="1"/>
      <c r="L78" s="1">
        <f t="shared" si="30"/>
        <v>-6215.01</v>
      </c>
      <c r="M78" s="1"/>
      <c r="N78" s="5">
        <f t="shared" si="31"/>
        <v>-0.36908426866203459</v>
      </c>
      <c r="O78" s="14"/>
      <c r="P78" s="1">
        <f>SUM(OSRRefP22_4x_0)</f>
        <v>37588.69</v>
      </c>
      <c r="Q78" s="1"/>
      <c r="R78" s="5">
        <f t="shared" si="32"/>
        <v>1.6217782789947705E-2</v>
      </c>
      <c r="S78" s="1"/>
      <c r="T78" s="1">
        <f>SUM(OSRRefT22_4x_0)</f>
        <v>76595</v>
      </c>
      <c r="U78" s="1"/>
      <c r="V78" s="5">
        <f t="shared" si="33"/>
        <v>1.9689755568888568E-2</v>
      </c>
      <c r="W78" s="1"/>
      <c r="X78" s="1">
        <f t="shared" si="34"/>
        <v>-39006.31</v>
      </c>
      <c r="Y78" s="1"/>
      <c r="Z78" s="5">
        <f t="shared" si="35"/>
        <v>-0.5092539983027613</v>
      </c>
    </row>
    <row r="79" spans="1:26" s="24" customFormat="1" hidden="1" outlineLevel="2" x14ac:dyDescent="0.25">
      <c r="A79" s="29"/>
      <c r="B79" s="11" t="str">
        <f>CONCATENATE("          ", "6381", " - ", "BANK/CREDIT CARD FEES")</f>
        <v xml:space="preserve">          6381 - BANK/CREDIT CARD FEES</v>
      </c>
      <c r="C79" s="11"/>
      <c r="D79" s="7">
        <v>10623.99</v>
      </c>
      <c r="E79" s="2"/>
      <c r="F79" s="6">
        <f t="shared" si="28"/>
        <v>1.8177674755648288E-2</v>
      </c>
      <c r="G79" s="2"/>
      <c r="H79" s="7">
        <v>16839</v>
      </c>
      <c r="I79" s="2"/>
      <c r="J79" s="6">
        <f t="shared" si="29"/>
        <v>2.0570008758653294E-2</v>
      </c>
      <c r="K79" s="2"/>
      <c r="L79" s="7">
        <f t="shared" si="30"/>
        <v>-6215.01</v>
      </c>
      <c r="M79" s="2"/>
      <c r="N79" s="6">
        <f t="shared" si="31"/>
        <v>-0.36908426866203459</v>
      </c>
      <c r="O79" s="11"/>
      <c r="P79" s="7">
        <v>37588.69</v>
      </c>
      <c r="Q79" s="2"/>
      <c r="R79" s="6">
        <f t="shared" si="32"/>
        <v>1.6217782789947705E-2</v>
      </c>
      <c r="S79" s="2"/>
      <c r="T79" s="7">
        <v>76595</v>
      </c>
      <c r="U79" s="2"/>
      <c r="V79" s="6">
        <f t="shared" si="33"/>
        <v>1.9689755568888568E-2</v>
      </c>
      <c r="W79" s="2"/>
      <c r="X79" s="7">
        <f t="shared" si="34"/>
        <v>-39006.31</v>
      </c>
      <c r="Y79" s="2"/>
      <c r="Z79" s="6">
        <f t="shared" si="35"/>
        <v>-0.5092539983027613</v>
      </c>
    </row>
    <row r="80" spans="1:26" s="28" customFormat="1" outlineLevel="1" collapsed="1" x14ac:dyDescent="0.25">
      <c r="A80" s="27"/>
      <c r="B80" s="14" t="str">
        <f>CONCATENATE("     ","Depreciation                                      ")</f>
        <v xml:space="preserve">     Depreciation                                      </v>
      </c>
      <c r="C80" s="14"/>
      <c r="D80" s="1">
        <f>SUM(OSRRefD22_5x_0)</f>
        <v>30720.68</v>
      </c>
      <c r="E80" s="1"/>
      <c r="F80" s="5">
        <f t="shared" si="28"/>
        <v>5.2563164057227961E-2</v>
      </c>
      <c r="G80" s="1"/>
      <c r="H80" s="1">
        <f>SUM(OSRRefH22_5x_0)</f>
        <v>30599</v>
      </c>
      <c r="I80" s="1"/>
      <c r="J80" s="5">
        <f t="shared" si="29"/>
        <v>3.7378805036286725E-2</v>
      </c>
      <c r="K80" s="1"/>
      <c r="L80" s="1">
        <f t="shared" si="30"/>
        <v>121.68000000000029</v>
      </c>
      <c r="M80" s="1"/>
      <c r="N80" s="5">
        <f t="shared" si="31"/>
        <v>3.9766005425013982E-3</v>
      </c>
      <c r="O80" s="14"/>
      <c r="P80" s="1">
        <f>SUM(OSRRefP22_5x_0)</f>
        <v>92162.040000000008</v>
      </c>
      <c r="Q80" s="1"/>
      <c r="R80" s="5">
        <f t="shared" si="32"/>
        <v>3.9763661521550024E-2</v>
      </c>
      <c r="S80" s="1"/>
      <c r="T80" s="1">
        <f>SUM(OSRRefT22_5x_0)</f>
        <v>91799</v>
      </c>
      <c r="U80" s="1"/>
      <c r="V80" s="5">
        <f t="shared" si="33"/>
        <v>2.3598144415019277E-2</v>
      </c>
      <c r="W80" s="1"/>
      <c r="X80" s="1">
        <f t="shared" si="34"/>
        <v>363.04000000000815</v>
      </c>
      <c r="Y80" s="1"/>
      <c r="Z80" s="5">
        <f t="shared" si="35"/>
        <v>3.954727175677384E-3</v>
      </c>
    </row>
    <row r="81" spans="1:26" s="24" customFormat="1" hidden="1" outlineLevel="2" x14ac:dyDescent="0.25">
      <c r="A81" s="29"/>
      <c r="B81" s="11" t="str">
        <f>CONCATENATE("          ", "6321", " - ", "BUILDING DEPRECIATION")</f>
        <v xml:space="preserve">          6321 - BUILDING DEPRECIATION</v>
      </c>
      <c r="C81" s="11"/>
      <c r="D81" s="7">
        <v>16396.52</v>
      </c>
      <c r="E81" s="2"/>
      <c r="F81" s="6">
        <f t="shared" si="28"/>
        <v>2.8054488726409033E-2</v>
      </c>
      <c r="G81" s="2"/>
      <c r="H81" s="7"/>
      <c r="I81" s="2"/>
      <c r="J81" s="6">
        <f t="shared" si="29"/>
        <v>0</v>
      </c>
      <c r="K81" s="2"/>
      <c r="L81" s="7">
        <f t="shared" si="30"/>
        <v>16396.52</v>
      </c>
      <c r="M81" s="2"/>
      <c r="N81" s="6">
        <f t="shared" si="31"/>
        <v>0</v>
      </c>
      <c r="O81" s="11"/>
      <c r="P81" s="7">
        <v>49189.56</v>
      </c>
      <c r="Q81" s="2"/>
      <c r="R81" s="6">
        <f t="shared" si="32"/>
        <v>2.1223022127483025E-2</v>
      </c>
      <c r="S81" s="2"/>
      <c r="T81" s="7"/>
      <c r="U81" s="2"/>
      <c r="V81" s="6">
        <f t="shared" si="33"/>
        <v>0</v>
      </c>
      <c r="W81" s="2"/>
      <c r="X81" s="7">
        <f t="shared" si="34"/>
        <v>49189.56</v>
      </c>
      <c r="Y81" s="2"/>
      <c r="Z81" s="6">
        <f t="shared" si="35"/>
        <v>0</v>
      </c>
    </row>
    <row r="82" spans="1:26" s="24" customFormat="1" hidden="1" outlineLevel="2" x14ac:dyDescent="0.25">
      <c r="A82" s="29"/>
      <c r="B82" s="11" t="str">
        <f>CONCATENATE("          ", "6322", " - ", "EQUIPMENT DEPRECIATION EXPENSE")</f>
        <v xml:space="preserve">          6322 - EQUIPMENT DEPRECIATION EXPENSE</v>
      </c>
      <c r="C82" s="11"/>
      <c r="D82" s="7">
        <v>14324.16</v>
      </c>
      <c r="E82" s="2"/>
      <c r="F82" s="6">
        <f t="shared" si="28"/>
        <v>2.4508675330818928E-2</v>
      </c>
      <c r="G82" s="2"/>
      <c r="H82" s="7">
        <v>30599</v>
      </c>
      <c r="I82" s="2"/>
      <c r="J82" s="6">
        <f t="shared" si="29"/>
        <v>3.7378805036286725E-2</v>
      </c>
      <c r="K82" s="2"/>
      <c r="L82" s="7">
        <f t="shared" si="30"/>
        <v>-16274.84</v>
      </c>
      <c r="M82" s="2"/>
      <c r="N82" s="6">
        <f t="shared" si="31"/>
        <v>-0.53187489787247955</v>
      </c>
      <c r="O82" s="11"/>
      <c r="P82" s="7">
        <v>42972.480000000003</v>
      </c>
      <c r="Q82" s="2"/>
      <c r="R82" s="6">
        <f t="shared" si="32"/>
        <v>1.8540639394066992E-2</v>
      </c>
      <c r="S82" s="2"/>
      <c r="T82" s="7">
        <v>91799</v>
      </c>
      <c r="U82" s="2"/>
      <c r="V82" s="6">
        <f t="shared" si="33"/>
        <v>2.3598144415019277E-2</v>
      </c>
      <c r="W82" s="2"/>
      <c r="X82" s="7">
        <f t="shared" si="34"/>
        <v>-48826.52</v>
      </c>
      <c r="Y82" s="2"/>
      <c r="Z82" s="6">
        <f t="shared" si="35"/>
        <v>-0.5318850967875467</v>
      </c>
    </row>
    <row r="83" spans="1:26" s="28" customFormat="1" outlineLevel="1" collapsed="1" x14ac:dyDescent="0.25">
      <c r="A83" s="27"/>
      <c r="B83" s="14" t="str">
        <f>CONCATENATE("     ","Discounts and Markdowns                           ")</f>
        <v xml:space="preserve">     Discounts and Markdowns                           </v>
      </c>
      <c r="C83" s="14"/>
      <c r="D83" s="1">
        <f>SUM(OSRRefD22_6x_0)</f>
        <v>135.49</v>
      </c>
      <c r="E83" s="1"/>
      <c r="F83" s="5">
        <f t="shared" ref="F83:F85" si="36">IF(D$12=0,0,D83/D$12)</f>
        <v>2.3182374537652868E-4</v>
      </c>
      <c r="G83" s="1"/>
      <c r="H83" s="1">
        <f>SUM(OSRRefH22_6x_0)</f>
        <v>0</v>
      </c>
      <c r="I83" s="1"/>
      <c r="J83" s="5">
        <f t="shared" ref="J83:J85" si="37">IF(H$12=0,0,H83/H$12)</f>
        <v>0</v>
      </c>
      <c r="K83" s="1"/>
      <c r="L83" s="1">
        <f t="shared" ref="L83:L85" si="38">+D83-H83</f>
        <v>135.49</v>
      </c>
      <c r="M83" s="1"/>
      <c r="N83" s="5">
        <f t="shared" ref="N83:N85" si="39">IF(H83=0,0,L83/H83)</f>
        <v>0</v>
      </c>
      <c r="O83" s="14"/>
      <c r="P83" s="1">
        <f>SUM(OSRRefP22_6x_0)</f>
        <v>-22.49</v>
      </c>
      <c r="Q83" s="1"/>
      <c r="R83" s="5">
        <f t="shared" ref="R83:R85" si="40">IF(P$12=0,0,P83/P$12)</f>
        <v>-9.7033957540399484E-6</v>
      </c>
      <c r="S83" s="1"/>
      <c r="T83" s="1">
        <f>SUM(OSRRefT22_6x_0)</f>
        <v>0</v>
      </c>
      <c r="U83" s="1"/>
      <c r="V83" s="5">
        <f t="shared" ref="V83:V85" si="41">IF(T$12=0,0,T83/T$12)</f>
        <v>0</v>
      </c>
      <c r="W83" s="1"/>
      <c r="X83" s="1">
        <f t="shared" ref="X83:X85" si="42">+P83-T83</f>
        <v>-22.49</v>
      </c>
      <c r="Y83" s="1"/>
      <c r="Z83" s="5">
        <f t="shared" ref="Z83:Z85" si="43">IF(T83=0,0,X83/T83)</f>
        <v>0</v>
      </c>
    </row>
    <row r="84" spans="1:26" s="24" customFormat="1" hidden="1" outlineLevel="2" x14ac:dyDescent="0.25">
      <c r="A84" s="29"/>
      <c r="B84" s="11" t="str">
        <f>CONCATENATE("          ", "6382", " - ", "DISCOUNTS/MARK DOWNS")</f>
        <v xml:space="preserve">          6382 - DISCOUNTS/MARK DOWNS</v>
      </c>
      <c r="C84" s="11"/>
      <c r="D84" s="7"/>
      <c r="E84" s="2"/>
      <c r="F84" s="6">
        <f t="shared" si="36"/>
        <v>0</v>
      </c>
      <c r="G84" s="2"/>
      <c r="H84" s="7"/>
      <c r="I84" s="2"/>
      <c r="J84" s="6">
        <f t="shared" si="37"/>
        <v>0</v>
      </c>
      <c r="K84" s="2"/>
      <c r="L84" s="7">
        <f t="shared" si="38"/>
        <v>0</v>
      </c>
      <c r="M84" s="2"/>
      <c r="N84" s="6">
        <f t="shared" si="39"/>
        <v>0</v>
      </c>
      <c r="O84" s="11"/>
      <c r="P84" s="7"/>
      <c r="Q84" s="2"/>
      <c r="R84" s="6">
        <f t="shared" si="40"/>
        <v>0</v>
      </c>
      <c r="S84" s="2"/>
      <c r="T84" s="7">
        <v>0</v>
      </c>
      <c r="U84" s="2"/>
      <c r="V84" s="6">
        <f t="shared" si="41"/>
        <v>0</v>
      </c>
      <c r="W84" s="2"/>
      <c r="X84" s="7">
        <f t="shared" si="42"/>
        <v>0</v>
      </c>
      <c r="Y84" s="2"/>
      <c r="Z84" s="6">
        <f t="shared" si="43"/>
        <v>0</v>
      </c>
    </row>
    <row r="85" spans="1:26" s="24" customFormat="1" hidden="1" outlineLevel="2" x14ac:dyDescent="0.25">
      <c r="A85" s="29"/>
      <c r="B85" s="11" t="str">
        <f>CONCATENATE("          ", "9175", " - ", "EARNED DISCOUNTS")</f>
        <v xml:space="preserve">          9175 - EARNED DISCOUNTS</v>
      </c>
      <c r="C85" s="11"/>
      <c r="D85" s="7">
        <v>135.49</v>
      </c>
      <c r="E85" s="2"/>
      <c r="F85" s="6">
        <f t="shared" si="36"/>
        <v>2.3182374537652868E-4</v>
      </c>
      <c r="G85" s="2"/>
      <c r="H85" s="7"/>
      <c r="I85" s="2"/>
      <c r="J85" s="6">
        <f t="shared" si="37"/>
        <v>0</v>
      </c>
      <c r="K85" s="2"/>
      <c r="L85" s="7">
        <f t="shared" si="38"/>
        <v>135.49</v>
      </c>
      <c r="M85" s="2"/>
      <c r="N85" s="6">
        <f t="shared" si="39"/>
        <v>0</v>
      </c>
      <c r="O85" s="11"/>
      <c r="P85" s="7">
        <v>-22.49</v>
      </c>
      <c r="Q85" s="2"/>
      <c r="R85" s="6">
        <f t="shared" si="40"/>
        <v>-9.7033957540399484E-6</v>
      </c>
      <c r="S85" s="2"/>
      <c r="T85" s="7"/>
      <c r="U85" s="2"/>
      <c r="V85" s="6">
        <f t="shared" si="41"/>
        <v>0</v>
      </c>
      <c r="W85" s="2"/>
      <c r="X85" s="7">
        <f t="shared" si="42"/>
        <v>-22.49</v>
      </c>
      <c r="Y85" s="2"/>
      <c r="Z85" s="6">
        <f t="shared" si="43"/>
        <v>0</v>
      </c>
    </row>
    <row r="86" spans="1:26" s="28" customFormat="1" outlineLevel="1" collapsed="1" x14ac:dyDescent="0.25">
      <c r="A86" s="27"/>
      <c r="B86" s="14" t="str">
        <f>CONCATENATE("     ","Donations                                         ")</f>
        <v xml:space="preserve">     Donations                                         </v>
      </c>
      <c r="C86" s="14"/>
      <c r="D86" s="1">
        <f>SUM(OSRRefD22_7x_0)</f>
        <v>0</v>
      </c>
      <c r="E86" s="1"/>
      <c r="F86" s="5">
        <f t="shared" ref="F86:F94" si="44">IF(D$12=0,0,D86/D$12)</f>
        <v>0</v>
      </c>
      <c r="G86" s="1"/>
      <c r="H86" s="1">
        <f>SUM(OSRRefH22_7x_0)</f>
        <v>1250</v>
      </c>
      <c r="I86" s="1"/>
      <c r="J86" s="5">
        <f t="shared" ref="J86:J94" si="45">IF(H$12=0,0,H86/H$12)</f>
        <v>1.5269618711512927E-3</v>
      </c>
      <c r="K86" s="1"/>
      <c r="L86" s="1">
        <f t="shared" ref="L86:L94" si="46">+D86-H86</f>
        <v>-1250</v>
      </c>
      <c r="M86" s="1"/>
      <c r="N86" s="5">
        <f t="shared" ref="N86:N94" si="47">IF(H86=0,0,L86/H86)</f>
        <v>-1</v>
      </c>
      <c r="O86" s="14"/>
      <c r="P86" s="1">
        <f>SUM(OSRRefP22_7x_0)</f>
        <v>0</v>
      </c>
      <c r="Q86" s="1"/>
      <c r="R86" s="5">
        <f t="shared" ref="R86:R94" si="48">IF(P$12=0,0,P86/P$12)</f>
        <v>0</v>
      </c>
      <c r="S86" s="1"/>
      <c r="T86" s="1">
        <f>SUM(OSRRefT22_7x_0)</f>
        <v>3750</v>
      </c>
      <c r="U86" s="1"/>
      <c r="V86" s="5">
        <f t="shared" ref="V86:V94" si="49">IF(T$12=0,0,T86/T$12)</f>
        <v>9.6398698848922419E-4</v>
      </c>
      <c r="W86" s="1"/>
      <c r="X86" s="1">
        <f t="shared" ref="X86:X94" si="50">+P86-T86</f>
        <v>-3750</v>
      </c>
      <c r="Y86" s="1"/>
      <c r="Z86" s="5">
        <f t="shared" ref="Z86:Z94" si="51">IF(T86=0,0,X86/T86)</f>
        <v>-1</v>
      </c>
    </row>
    <row r="87" spans="1:26" s="24" customFormat="1" hidden="1" outlineLevel="2" x14ac:dyDescent="0.25">
      <c r="A87" s="29"/>
      <c r="B87" s="11" t="str">
        <f>CONCATENATE("          ", "6399", " - ", "DONATION-ON CAMPUS")</f>
        <v xml:space="preserve">          6399 - DONATION-ON CAMPUS</v>
      </c>
      <c r="C87" s="11"/>
      <c r="D87" s="7"/>
      <c r="E87" s="2"/>
      <c r="F87" s="6">
        <f t="shared" si="44"/>
        <v>0</v>
      </c>
      <c r="G87" s="2"/>
      <c r="H87" s="7">
        <v>1250</v>
      </c>
      <c r="I87" s="2"/>
      <c r="J87" s="6">
        <f t="shared" si="45"/>
        <v>1.5269618711512927E-3</v>
      </c>
      <c r="K87" s="2"/>
      <c r="L87" s="7">
        <f t="shared" si="46"/>
        <v>-1250</v>
      </c>
      <c r="M87" s="2"/>
      <c r="N87" s="6">
        <f t="shared" si="47"/>
        <v>-1</v>
      </c>
      <c r="O87" s="11"/>
      <c r="P87" s="7"/>
      <c r="Q87" s="2"/>
      <c r="R87" s="6">
        <f t="shared" si="48"/>
        <v>0</v>
      </c>
      <c r="S87" s="2"/>
      <c r="T87" s="7">
        <v>3750</v>
      </c>
      <c r="U87" s="2"/>
      <c r="V87" s="6">
        <f t="shared" si="49"/>
        <v>9.6398698848922419E-4</v>
      </c>
      <c r="W87" s="2"/>
      <c r="X87" s="7">
        <f t="shared" si="50"/>
        <v>-3750</v>
      </c>
      <c r="Y87" s="2"/>
      <c r="Z87" s="6">
        <f t="shared" si="51"/>
        <v>-1</v>
      </c>
    </row>
    <row r="88" spans="1:26" s="28" customFormat="1" outlineLevel="1" collapsed="1" x14ac:dyDescent="0.25">
      <c r="A88" s="27"/>
      <c r="B88" s="14" t="str">
        <f>CONCATENATE("     ","Employees' Appreciation                           ")</f>
        <v xml:space="preserve">     Employees' Appreciation                           </v>
      </c>
      <c r="C88" s="14"/>
      <c r="D88" s="1">
        <f>SUM(OSRRefD22_8x_0)</f>
        <v>447.27</v>
      </c>
      <c r="E88" s="1"/>
      <c r="F88" s="5">
        <f t="shared" si="44"/>
        <v>7.6528014314384803E-4</v>
      </c>
      <c r="G88" s="1"/>
      <c r="H88" s="1">
        <f>SUM(OSRRefH22_8x_0)</f>
        <v>225</v>
      </c>
      <c r="I88" s="1"/>
      <c r="J88" s="5">
        <f t="shared" si="45"/>
        <v>2.7485313680723268E-4</v>
      </c>
      <c r="K88" s="1"/>
      <c r="L88" s="1">
        <f t="shared" si="46"/>
        <v>222.26999999999998</v>
      </c>
      <c r="M88" s="1"/>
      <c r="N88" s="5">
        <f t="shared" si="47"/>
        <v>0.98786666666666656</v>
      </c>
      <c r="O88" s="14"/>
      <c r="P88" s="1">
        <f>SUM(OSRRefP22_8x_0)</f>
        <v>1384.63</v>
      </c>
      <c r="Q88" s="1"/>
      <c r="R88" s="5">
        <f t="shared" si="48"/>
        <v>5.9740386229063293E-4</v>
      </c>
      <c r="S88" s="1"/>
      <c r="T88" s="1">
        <f>SUM(OSRRefT22_8x_0)</f>
        <v>675</v>
      </c>
      <c r="U88" s="1"/>
      <c r="V88" s="5">
        <f t="shared" si="49"/>
        <v>1.7351765792806035E-4</v>
      </c>
      <c r="W88" s="1"/>
      <c r="X88" s="1">
        <f t="shared" si="50"/>
        <v>709.63000000000011</v>
      </c>
      <c r="Y88" s="1"/>
      <c r="Z88" s="5">
        <f t="shared" si="51"/>
        <v>1.0513037037037039</v>
      </c>
    </row>
    <row r="89" spans="1:26" s="24" customFormat="1" hidden="1" outlineLevel="2" x14ac:dyDescent="0.25">
      <c r="A89" s="29"/>
      <c r="B89" s="11" t="str">
        <f>CONCATENATE("          ", "6277", " - ", "EMPLOYEE APPRECIATION")</f>
        <v xml:space="preserve">          6277 - EMPLOYEE APPRECIATION</v>
      </c>
      <c r="C89" s="11"/>
      <c r="D89" s="7">
        <v>447.27</v>
      </c>
      <c r="E89" s="2"/>
      <c r="F89" s="6">
        <f t="shared" si="44"/>
        <v>7.6528014314384803E-4</v>
      </c>
      <c r="G89" s="2"/>
      <c r="H89" s="7">
        <v>225</v>
      </c>
      <c r="I89" s="2"/>
      <c r="J89" s="6">
        <f t="shared" si="45"/>
        <v>2.7485313680723268E-4</v>
      </c>
      <c r="K89" s="2"/>
      <c r="L89" s="7">
        <f t="shared" si="46"/>
        <v>222.26999999999998</v>
      </c>
      <c r="M89" s="2"/>
      <c r="N89" s="6">
        <f t="shared" si="47"/>
        <v>0.98786666666666656</v>
      </c>
      <c r="O89" s="11"/>
      <c r="P89" s="7">
        <v>1384.63</v>
      </c>
      <c r="Q89" s="2"/>
      <c r="R89" s="6">
        <f t="shared" si="48"/>
        <v>5.9740386229063293E-4</v>
      </c>
      <c r="S89" s="2"/>
      <c r="T89" s="7">
        <v>675</v>
      </c>
      <c r="U89" s="2"/>
      <c r="V89" s="6">
        <f t="shared" si="49"/>
        <v>1.7351765792806035E-4</v>
      </c>
      <c r="W89" s="2"/>
      <c r="X89" s="7">
        <f t="shared" si="50"/>
        <v>709.63000000000011</v>
      </c>
      <c r="Y89" s="2"/>
      <c r="Z89" s="6">
        <f t="shared" si="51"/>
        <v>1.0513037037037039</v>
      </c>
    </row>
    <row r="90" spans="1:26" s="28" customFormat="1" outlineLevel="1" collapsed="1" x14ac:dyDescent="0.25">
      <c r="A90" s="27"/>
      <c r="B90" s="14" t="str">
        <f>CONCATENATE("     ","Equipment Rental                                  ")</f>
        <v xml:space="preserve">     Equipment Rental                                  </v>
      </c>
      <c r="C90" s="14"/>
      <c r="D90" s="1">
        <f>SUM(OSRRefD22_9x_0)</f>
        <v>1388.16</v>
      </c>
      <c r="E90" s="1"/>
      <c r="F90" s="5">
        <f t="shared" si="44"/>
        <v>2.3751454010028936E-3</v>
      </c>
      <c r="G90" s="1"/>
      <c r="H90" s="1">
        <f>SUM(OSRRefH22_9x_0)</f>
        <v>1700</v>
      </c>
      <c r="I90" s="1"/>
      <c r="J90" s="5">
        <f t="shared" si="45"/>
        <v>2.0766681447657578E-3</v>
      </c>
      <c r="K90" s="1"/>
      <c r="L90" s="1">
        <f t="shared" si="46"/>
        <v>-311.83999999999992</v>
      </c>
      <c r="M90" s="1"/>
      <c r="N90" s="5">
        <f t="shared" si="47"/>
        <v>-0.183435294117647</v>
      </c>
      <c r="O90" s="14"/>
      <c r="P90" s="1">
        <f>SUM(OSRRefP22_9x_0)</f>
        <v>5080.05</v>
      </c>
      <c r="Q90" s="1"/>
      <c r="R90" s="5">
        <f t="shared" si="48"/>
        <v>2.1918068297159025E-3</v>
      </c>
      <c r="S90" s="1"/>
      <c r="T90" s="1">
        <f>SUM(OSRRefT22_9x_0)</f>
        <v>4900</v>
      </c>
      <c r="U90" s="1"/>
      <c r="V90" s="5">
        <f t="shared" si="49"/>
        <v>1.2596096649592529E-3</v>
      </c>
      <c r="W90" s="1"/>
      <c r="X90" s="1">
        <f t="shared" si="50"/>
        <v>180.05000000000018</v>
      </c>
      <c r="Y90" s="1"/>
      <c r="Z90" s="5">
        <f t="shared" si="51"/>
        <v>3.674489795918371E-2</v>
      </c>
    </row>
    <row r="91" spans="1:26" s="24" customFormat="1" hidden="1" outlineLevel="2" x14ac:dyDescent="0.25">
      <c r="A91" s="29"/>
      <c r="B91" s="11" t="str">
        <f>CONCATENATE("          ", "6351", " - ", "EQUIPMENT RENTAL")</f>
        <v xml:space="preserve">          6351 - EQUIPMENT RENTAL</v>
      </c>
      <c r="C91" s="11"/>
      <c r="D91" s="7">
        <v>1388.16</v>
      </c>
      <c r="E91" s="2"/>
      <c r="F91" s="6">
        <f t="shared" si="44"/>
        <v>2.3751454010028936E-3</v>
      </c>
      <c r="G91" s="2"/>
      <c r="H91" s="7">
        <v>1700</v>
      </c>
      <c r="I91" s="2"/>
      <c r="J91" s="6">
        <f t="shared" si="45"/>
        <v>2.0766681447657578E-3</v>
      </c>
      <c r="K91" s="2"/>
      <c r="L91" s="7">
        <f t="shared" si="46"/>
        <v>-311.83999999999992</v>
      </c>
      <c r="M91" s="2"/>
      <c r="N91" s="6">
        <f t="shared" si="47"/>
        <v>-0.183435294117647</v>
      </c>
      <c r="O91" s="11"/>
      <c r="P91" s="7">
        <v>5080.05</v>
      </c>
      <c r="Q91" s="2"/>
      <c r="R91" s="6">
        <f t="shared" si="48"/>
        <v>2.1918068297159025E-3</v>
      </c>
      <c r="S91" s="2"/>
      <c r="T91" s="7">
        <v>4900</v>
      </c>
      <c r="U91" s="2"/>
      <c r="V91" s="6">
        <f t="shared" si="49"/>
        <v>1.2596096649592529E-3</v>
      </c>
      <c r="W91" s="2"/>
      <c r="X91" s="7">
        <f t="shared" si="50"/>
        <v>180.05000000000018</v>
      </c>
      <c r="Y91" s="2"/>
      <c r="Z91" s="6">
        <f t="shared" si="51"/>
        <v>3.674489795918371E-2</v>
      </c>
    </row>
    <row r="92" spans="1:26" s="28" customFormat="1" outlineLevel="1" collapsed="1" x14ac:dyDescent="0.25">
      <c r="A92" s="27"/>
      <c r="B92" s="14" t="str">
        <f>CONCATENATE("     ","Freight out/Postage                               ")</f>
        <v xml:space="preserve">     Freight out/Postage                               </v>
      </c>
      <c r="C92" s="14"/>
      <c r="D92" s="1">
        <f>SUM(OSRRefD22_10x_0)</f>
        <v>3653.1299999999992</v>
      </c>
      <c r="E92" s="1"/>
      <c r="F92" s="5">
        <f t="shared" si="44"/>
        <v>6.2505150117894894E-3</v>
      </c>
      <c r="G92" s="1"/>
      <c r="H92" s="1">
        <f>SUM(OSRRefH22_10x_0)</f>
        <v>-10150</v>
      </c>
      <c r="I92" s="1"/>
      <c r="J92" s="5">
        <f t="shared" si="45"/>
        <v>-1.2398930393748496E-2</v>
      </c>
      <c r="K92" s="1"/>
      <c r="L92" s="1">
        <f t="shared" si="46"/>
        <v>13803.13</v>
      </c>
      <c r="M92" s="1"/>
      <c r="N92" s="5">
        <f t="shared" si="47"/>
        <v>-1.3599142857142856</v>
      </c>
      <c r="O92" s="14"/>
      <c r="P92" s="1">
        <f>SUM(OSRRefP22_10x_0)</f>
        <v>-12129.8</v>
      </c>
      <c r="Q92" s="1"/>
      <c r="R92" s="5">
        <f t="shared" si="48"/>
        <v>-5.2334481910784238E-3</v>
      </c>
      <c r="S92" s="1"/>
      <c r="T92" s="1">
        <f>SUM(OSRRefT22_10x_0)</f>
        <v>-47250</v>
      </c>
      <c r="U92" s="1"/>
      <c r="V92" s="5">
        <f t="shared" si="49"/>
        <v>-1.2146236054964225E-2</v>
      </c>
      <c r="W92" s="1"/>
      <c r="X92" s="1">
        <f t="shared" si="50"/>
        <v>35120.199999999997</v>
      </c>
      <c r="Y92" s="1"/>
      <c r="Z92" s="5">
        <f t="shared" si="51"/>
        <v>-0.74328465608465599</v>
      </c>
    </row>
    <row r="93" spans="1:26" s="24" customFormat="1" hidden="1" outlineLevel="2" x14ac:dyDescent="0.25">
      <c r="A93" s="29"/>
      <c r="B93" s="11" t="str">
        <f>CONCATENATE("          ", "6305", " - ", "FREIGHT OUT")</f>
        <v xml:space="preserve">          6305 - FREIGHT OUT</v>
      </c>
      <c r="C93" s="11"/>
      <c r="D93" s="7">
        <v>13290.66</v>
      </c>
      <c r="E93" s="2"/>
      <c r="F93" s="6">
        <f t="shared" si="44"/>
        <v>2.2740354120053246E-2</v>
      </c>
      <c r="G93" s="2"/>
      <c r="H93" s="7">
        <v>1350</v>
      </c>
      <c r="I93" s="2"/>
      <c r="J93" s="6">
        <f t="shared" si="45"/>
        <v>1.6491188208433961E-3</v>
      </c>
      <c r="K93" s="2"/>
      <c r="L93" s="7">
        <f t="shared" si="46"/>
        <v>11940.66</v>
      </c>
      <c r="M93" s="2"/>
      <c r="N93" s="6">
        <f t="shared" si="47"/>
        <v>8.8449333333333335</v>
      </c>
      <c r="O93" s="11"/>
      <c r="P93" s="7">
        <v>28579.81</v>
      </c>
      <c r="Q93" s="2"/>
      <c r="R93" s="6">
        <f t="shared" si="48"/>
        <v>1.2330867363506824E-2</v>
      </c>
      <c r="S93" s="2"/>
      <c r="T93" s="7">
        <v>18050</v>
      </c>
      <c r="U93" s="2"/>
      <c r="V93" s="6">
        <f t="shared" si="49"/>
        <v>4.6399907045947993E-3</v>
      </c>
      <c r="W93" s="2"/>
      <c r="X93" s="7">
        <f t="shared" si="50"/>
        <v>10529.810000000001</v>
      </c>
      <c r="Y93" s="2"/>
      <c r="Z93" s="6">
        <f t="shared" si="51"/>
        <v>0.58336897506925212</v>
      </c>
    </row>
    <row r="94" spans="1:26" s="24" customFormat="1" hidden="1" outlineLevel="2" x14ac:dyDescent="0.25">
      <c r="A94" s="29"/>
      <c r="B94" s="11" t="str">
        <f>CONCATENATE("          ", "6307", " - ", "POSTAGE")</f>
        <v xml:space="preserve">          6307 - POSTAGE</v>
      </c>
      <c r="C94" s="11"/>
      <c r="D94" s="7">
        <v>-9637.5300000000007</v>
      </c>
      <c r="E94" s="2"/>
      <c r="F94" s="6">
        <f t="shared" si="44"/>
        <v>-1.6489839108263758E-2</v>
      </c>
      <c r="G94" s="2"/>
      <c r="H94" s="7">
        <v>-11500</v>
      </c>
      <c r="I94" s="2"/>
      <c r="J94" s="6">
        <f t="shared" si="45"/>
        <v>-1.4048049214591893E-2</v>
      </c>
      <c r="K94" s="2"/>
      <c r="L94" s="7">
        <f t="shared" si="46"/>
        <v>1862.4699999999993</v>
      </c>
      <c r="M94" s="2"/>
      <c r="N94" s="6">
        <f t="shared" si="47"/>
        <v>-0.1619539130434782</v>
      </c>
      <c r="O94" s="11"/>
      <c r="P94" s="7">
        <v>-40709.61</v>
      </c>
      <c r="Q94" s="2"/>
      <c r="R94" s="6">
        <f t="shared" si="48"/>
        <v>-1.756431555458525E-2</v>
      </c>
      <c r="S94" s="2"/>
      <c r="T94" s="7">
        <v>-65300</v>
      </c>
      <c r="U94" s="2"/>
      <c r="V94" s="6">
        <f t="shared" si="49"/>
        <v>-1.6786226759559025E-2</v>
      </c>
      <c r="W94" s="2"/>
      <c r="X94" s="7">
        <f t="shared" si="50"/>
        <v>24590.39</v>
      </c>
      <c r="Y94" s="2"/>
      <c r="Z94" s="6">
        <f t="shared" si="51"/>
        <v>-0.37657565084226646</v>
      </c>
    </row>
    <row r="95" spans="1:26" s="28" customFormat="1" outlineLevel="1" collapsed="1" x14ac:dyDescent="0.25">
      <c r="A95" s="27"/>
      <c r="B95" s="14" t="str">
        <f>CONCATENATE("     ","General                                           ")</f>
        <v xml:space="preserve">     General                                           </v>
      </c>
      <c r="C95" s="14"/>
      <c r="D95" s="1">
        <f>SUM(OSRRefD22_11x_0)</f>
        <v>91.31</v>
      </c>
      <c r="E95" s="1"/>
      <c r="F95" s="5">
        <f t="shared" ref="F95:F97" si="52">IF(D$12=0,0,D95/D$12)</f>
        <v>1.5623164949686938E-4</v>
      </c>
      <c r="G95" s="1"/>
      <c r="H95" s="1">
        <f>SUM(OSRRefH22_11x_0)</f>
        <v>200</v>
      </c>
      <c r="I95" s="1"/>
      <c r="J95" s="5">
        <f t="shared" ref="J95:J97" si="53">IF(H$12=0,0,H95/H$12)</f>
        <v>2.4431389938420683E-4</v>
      </c>
      <c r="K95" s="1"/>
      <c r="L95" s="1">
        <f t="shared" ref="L95:L97" si="54">+D95-H95</f>
        <v>-108.69</v>
      </c>
      <c r="M95" s="1"/>
      <c r="N95" s="5">
        <f t="shared" ref="N95:N97" si="55">IF(H95=0,0,L95/H95)</f>
        <v>-0.54344999999999999</v>
      </c>
      <c r="O95" s="14"/>
      <c r="P95" s="1">
        <f>SUM(OSRRefP22_11x_0)</f>
        <v>1866.6</v>
      </c>
      <c r="Q95" s="1"/>
      <c r="R95" s="5">
        <f t="shared" ref="R95:R97" si="56">IF(P$12=0,0,P95/P$12)</f>
        <v>8.0535164581996299E-4</v>
      </c>
      <c r="S95" s="1"/>
      <c r="T95" s="1">
        <f>SUM(OSRRefT22_11x_0)</f>
        <v>850</v>
      </c>
      <c r="U95" s="1"/>
      <c r="V95" s="5">
        <f t="shared" ref="V95:V97" si="57">IF(T$12=0,0,T95/T$12)</f>
        <v>2.1850371739089082E-4</v>
      </c>
      <c r="W95" s="1"/>
      <c r="X95" s="1">
        <f t="shared" ref="X95:X97" si="58">+P95-T95</f>
        <v>1016.5999999999999</v>
      </c>
      <c r="Y95" s="1"/>
      <c r="Z95" s="5">
        <f t="shared" ref="Z95:Z97" si="59">IF(T95=0,0,X95/T95)</f>
        <v>1.196</v>
      </c>
    </row>
    <row r="96" spans="1:26" s="24" customFormat="1" hidden="1" outlineLevel="2" x14ac:dyDescent="0.25">
      <c r="A96" s="29"/>
      <c r="B96" s="11" t="str">
        <f>CONCATENATE("          ", "6276", " - ", "PROPERTY TAX")</f>
        <v xml:space="preserve">          6276 - PROPERTY TAX</v>
      </c>
      <c r="C96" s="11"/>
      <c r="D96" s="7"/>
      <c r="E96" s="2"/>
      <c r="F96" s="6">
        <f t="shared" si="52"/>
        <v>0</v>
      </c>
      <c r="G96" s="2"/>
      <c r="H96" s="7"/>
      <c r="I96" s="2"/>
      <c r="J96" s="6">
        <f t="shared" si="53"/>
        <v>0</v>
      </c>
      <c r="K96" s="2"/>
      <c r="L96" s="7">
        <f t="shared" si="54"/>
        <v>0</v>
      </c>
      <c r="M96" s="2"/>
      <c r="N96" s="6">
        <f t="shared" si="55"/>
        <v>0</v>
      </c>
      <c r="O96" s="11"/>
      <c r="P96" s="7"/>
      <c r="Q96" s="2"/>
      <c r="R96" s="6">
        <f t="shared" si="56"/>
        <v>0</v>
      </c>
      <c r="S96" s="2"/>
      <c r="T96" s="7">
        <v>125</v>
      </c>
      <c r="U96" s="2"/>
      <c r="V96" s="6">
        <f t="shared" si="57"/>
        <v>3.213289961630747E-5</v>
      </c>
      <c r="W96" s="2"/>
      <c r="X96" s="7">
        <f t="shared" si="58"/>
        <v>-125</v>
      </c>
      <c r="Y96" s="2"/>
      <c r="Z96" s="6">
        <f t="shared" si="59"/>
        <v>-1</v>
      </c>
    </row>
    <row r="97" spans="1:26" s="24" customFormat="1" hidden="1" outlineLevel="2" x14ac:dyDescent="0.25">
      <c r="A97" s="29"/>
      <c r="B97" s="11" t="str">
        <f>CONCATENATE("          ", "6279", " - ", "GENERAL EXPENSE")</f>
        <v xml:space="preserve">          6279 - GENERAL EXPENSE</v>
      </c>
      <c r="C97" s="11"/>
      <c r="D97" s="7">
        <v>91.31</v>
      </c>
      <c r="E97" s="2"/>
      <c r="F97" s="6">
        <f t="shared" si="52"/>
        <v>1.5623164949686938E-4</v>
      </c>
      <c r="G97" s="2"/>
      <c r="H97" s="7">
        <v>200</v>
      </c>
      <c r="I97" s="2"/>
      <c r="J97" s="6">
        <f t="shared" si="53"/>
        <v>2.4431389938420683E-4</v>
      </c>
      <c r="K97" s="2"/>
      <c r="L97" s="7">
        <f t="shared" si="54"/>
        <v>-108.69</v>
      </c>
      <c r="M97" s="2"/>
      <c r="N97" s="6">
        <f t="shared" si="55"/>
        <v>-0.54344999999999999</v>
      </c>
      <c r="O97" s="11"/>
      <c r="P97" s="7">
        <v>1866.6</v>
      </c>
      <c r="Q97" s="2"/>
      <c r="R97" s="6">
        <f t="shared" si="56"/>
        <v>8.0535164581996299E-4</v>
      </c>
      <c r="S97" s="2"/>
      <c r="T97" s="7">
        <v>725</v>
      </c>
      <c r="U97" s="2"/>
      <c r="V97" s="6">
        <f t="shared" si="57"/>
        <v>1.8637081777458334E-4</v>
      </c>
      <c r="W97" s="2"/>
      <c r="X97" s="7">
        <f t="shared" si="58"/>
        <v>1141.5999999999999</v>
      </c>
      <c r="Y97" s="2"/>
      <c r="Z97" s="6">
        <f t="shared" si="59"/>
        <v>1.5746206896551722</v>
      </c>
    </row>
    <row r="98" spans="1:26" s="28" customFormat="1" outlineLevel="1" collapsed="1" x14ac:dyDescent="0.25">
      <c r="A98" s="27"/>
      <c r="B98" s="14" t="str">
        <f>CONCATENATE("     ","Insurance                                         ")</f>
        <v xml:space="preserve">     Insurance                                         </v>
      </c>
      <c r="C98" s="14"/>
      <c r="D98" s="1">
        <f>SUM(OSRRefD22_12x_0)</f>
        <v>5494.57</v>
      </c>
      <c r="E98" s="1"/>
      <c r="F98" s="5">
        <f t="shared" ref="F98:F110" si="60">IF(D$12=0,0,D98/D$12)</f>
        <v>9.401223681699853E-3</v>
      </c>
      <c r="G98" s="1"/>
      <c r="H98" s="1">
        <f>SUM(OSRRefH22_12x_0)</f>
        <v>5375</v>
      </c>
      <c r="I98" s="1"/>
      <c r="J98" s="5">
        <f t="shared" ref="J98:J110" si="61">IF(H$12=0,0,H98/H$12)</f>
        <v>6.5659360459505581E-3</v>
      </c>
      <c r="K98" s="1"/>
      <c r="L98" s="1">
        <f t="shared" ref="L98:L110" si="62">+D98-H98</f>
        <v>119.56999999999971</v>
      </c>
      <c r="M98" s="1"/>
      <c r="N98" s="5">
        <f t="shared" ref="N98:N110" si="63">IF(H98=0,0,L98/H98)</f>
        <v>2.2245581395348782E-2</v>
      </c>
      <c r="O98" s="14"/>
      <c r="P98" s="1">
        <f>SUM(OSRRefP22_12x_0)</f>
        <v>16483.71</v>
      </c>
      <c r="Q98" s="1"/>
      <c r="R98" s="5">
        <f t="shared" ref="R98:R110" si="64">IF(P$12=0,0,P98/P$12)</f>
        <v>7.1119591651767821E-3</v>
      </c>
      <c r="S98" s="1"/>
      <c r="T98" s="1">
        <f>SUM(OSRRefT22_12x_0)</f>
        <v>16125</v>
      </c>
      <c r="U98" s="1"/>
      <c r="V98" s="5">
        <f t="shared" ref="V98:V110" si="65">IF(T$12=0,0,T98/T$12)</f>
        <v>4.1451440505036637E-3</v>
      </c>
      <c r="W98" s="1"/>
      <c r="X98" s="1">
        <f t="shared" ref="X98:X110" si="66">+P98-T98</f>
        <v>358.70999999999913</v>
      </c>
      <c r="Y98" s="1"/>
      <c r="Z98" s="5">
        <f t="shared" ref="Z98:Z110" si="67">IF(T98=0,0,X98/T98)</f>
        <v>2.2245581395348782E-2</v>
      </c>
    </row>
    <row r="99" spans="1:26" s="24" customFormat="1" hidden="1" outlineLevel="2" x14ac:dyDescent="0.25">
      <c r="A99" s="29"/>
      <c r="B99" s="11" t="str">
        <f>CONCATENATE("          ", "6314", " - ", "LIABILITY INSURANCE")</f>
        <v xml:space="preserve">          6314 - LIABILITY INSURANCE</v>
      </c>
      <c r="C99" s="11"/>
      <c r="D99" s="7">
        <v>5494.57</v>
      </c>
      <c r="E99" s="2"/>
      <c r="F99" s="6">
        <f t="shared" si="60"/>
        <v>9.401223681699853E-3</v>
      </c>
      <c r="G99" s="2"/>
      <c r="H99" s="7">
        <v>5375</v>
      </c>
      <c r="I99" s="2"/>
      <c r="J99" s="6">
        <f t="shared" si="61"/>
        <v>6.5659360459505581E-3</v>
      </c>
      <c r="K99" s="2"/>
      <c r="L99" s="7">
        <f t="shared" si="62"/>
        <v>119.56999999999971</v>
      </c>
      <c r="M99" s="2"/>
      <c r="N99" s="6">
        <f t="shared" si="63"/>
        <v>2.2245581395348782E-2</v>
      </c>
      <c r="O99" s="11"/>
      <c r="P99" s="7">
        <v>16483.71</v>
      </c>
      <c r="Q99" s="2"/>
      <c r="R99" s="6">
        <f t="shared" si="64"/>
        <v>7.1119591651767821E-3</v>
      </c>
      <c r="S99" s="2"/>
      <c r="T99" s="7">
        <v>16125</v>
      </c>
      <c r="U99" s="2"/>
      <c r="V99" s="6">
        <f t="shared" si="65"/>
        <v>4.1451440505036637E-3</v>
      </c>
      <c r="W99" s="2"/>
      <c r="X99" s="7">
        <f t="shared" si="66"/>
        <v>358.70999999999913</v>
      </c>
      <c r="Y99" s="2"/>
      <c r="Z99" s="6">
        <f t="shared" si="67"/>
        <v>2.2245581395348782E-2</v>
      </c>
    </row>
    <row r="100" spans="1:26" s="28" customFormat="1" outlineLevel="1" collapsed="1" x14ac:dyDescent="0.25">
      <c r="A100" s="27"/>
      <c r="B100" s="14" t="str">
        <f>CONCATENATE("     ","Inventory Adjustment                              ")</f>
        <v xml:space="preserve">     Inventory Adjustment                              </v>
      </c>
      <c r="C100" s="14"/>
      <c r="D100" s="1">
        <f>SUM(OSRRefD22_13x_0)</f>
        <v>5100</v>
      </c>
      <c r="E100" s="1"/>
      <c r="F100" s="5">
        <f t="shared" si="60"/>
        <v>8.7261133767827601E-3</v>
      </c>
      <c r="G100" s="1"/>
      <c r="H100" s="1">
        <f>SUM(OSRRefH22_13x_0)</f>
        <v>5100</v>
      </c>
      <c r="I100" s="1"/>
      <c r="J100" s="5">
        <f t="shared" si="61"/>
        <v>6.2300044342972734E-3</v>
      </c>
      <c r="K100" s="1"/>
      <c r="L100" s="1">
        <f t="shared" si="62"/>
        <v>0</v>
      </c>
      <c r="M100" s="1"/>
      <c r="N100" s="5">
        <f t="shared" si="63"/>
        <v>0</v>
      </c>
      <c r="O100" s="14"/>
      <c r="P100" s="1">
        <f>SUM(OSRRefP22_13x_0)</f>
        <v>15300</v>
      </c>
      <c r="Q100" s="1"/>
      <c r="R100" s="5">
        <f t="shared" si="64"/>
        <v>6.6012429985242869E-3</v>
      </c>
      <c r="S100" s="1"/>
      <c r="T100" s="1">
        <f>SUM(OSRRefT22_13x_0)</f>
        <v>15300</v>
      </c>
      <c r="U100" s="1"/>
      <c r="V100" s="5">
        <f t="shared" si="65"/>
        <v>3.9330669130360346E-3</v>
      </c>
      <c r="W100" s="1"/>
      <c r="X100" s="1">
        <f t="shared" si="66"/>
        <v>0</v>
      </c>
      <c r="Y100" s="1"/>
      <c r="Z100" s="5">
        <f t="shared" si="67"/>
        <v>0</v>
      </c>
    </row>
    <row r="101" spans="1:26" s="24" customFormat="1" hidden="1" outlineLevel="2" x14ac:dyDescent="0.25">
      <c r="A101" s="29"/>
      <c r="B101" s="11" t="str">
        <f>CONCATENATE("          ", "6408", " - ", "INVENTORY ADJUSTMENT")</f>
        <v xml:space="preserve">          6408 - INVENTORY ADJUSTMENT</v>
      </c>
      <c r="C101" s="11"/>
      <c r="D101" s="7">
        <v>5100</v>
      </c>
      <c r="E101" s="2"/>
      <c r="F101" s="6">
        <f t="shared" si="60"/>
        <v>8.7261133767827601E-3</v>
      </c>
      <c r="G101" s="2"/>
      <c r="H101" s="7">
        <v>5100</v>
      </c>
      <c r="I101" s="2"/>
      <c r="J101" s="6">
        <f t="shared" si="61"/>
        <v>6.2300044342972734E-3</v>
      </c>
      <c r="K101" s="2"/>
      <c r="L101" s="7">
        <f t="shared" si="62"/>
        <v>0</v>
      </c>
      <c r="M101" s="2"/>
      <c r="N101" s="6">
        <f t="shared" si="63"/>
        <v>0</v>
      </c>
      <c r="O101" s="11"/>
      <c r="P101" s="7">
        <v>15300</v>
      </c>
      <c r="Q101" s="2"/>
      <c r="R101" s="6">
        <f t="shared" si="64"/>
        <v>6.6012429985242869E-3</v>
      </c>
      <c r="S101" s="2"/>
      <c r="T101" s="7">
        <v>15300</v>
      </c>
      <c r="U101" s="2"/>
      <c r="V101" s="6">
        <f t="shared" si="65"/>
        <v>3.9330669130360346E-3</v>
      </c>
      <c r="W101" s="2"/>
      <c r="X101" s="7">
        <f t="shared" si="66"/>
        <v>0</v>
      </c>
      <c r="Y101" s="2"/>
      <c r="Z101" s="6">
        <f t="shared" si="67"/>
        <v>0</v>
      </c>
    </row>
    <row r="102" spans="1:26" s="28" customFormat="1" outlineLevel="1" collapsed="1" x14ac:dyDescent="0.25">
      <c r="A102" s="27"/>
      <c r="B102" s="14" t="str">
        <f>CONCATENATE("     ","Professional Services                             ")</f>
        <v xml:space="preserve">     Professional Services                             </v>
      </c>
      <c r="C102" s="14"/>
      <c r="D102" s="1">
        <f>SUM(OSRRefD22_14x_0)</f>
        <v>0</v>
      </c>
      <c r="E102" s="1"/>
      <c r="F102" s="5">
        <f t="shared" si="60"/>
        <v>0</v>
      </c>
      <c r="G102" s="1"/>
      <c r="H102" s="1">
        <f>SUM(OSRRefH22_14x_0)</f>
        <v>0</v>
      </c>
      <c r="I102" s="1"/>
      <c r="J102" s="5">
        <f t="shared" si="61"/>
        <v>0</v>
      </c>
      <c r="K102" s="1"/>
      <c r="L102" s="1">
        <f t="shared" si="62"/>
        <v>0</v>
      </c>
      <c r="M102" s="1"/>
      <c r="N102" s="5">
        <f t="shared" si="63"/>
        <v>0</v>
      </c>
      <c r="O102" s="14"/>
      <c r="P102" s="1">
        <f>SUM(OSRRefP22_14x_0)</f>
        <v>0</v>
      </c>
      <c r="Q102" s="1"/>
      <c r="R102" s="5">
        <f t="shared" si="64"/>
        <v>0</v>
      </c>
      <c r="S102" s="1"/>
      <c r="T102" s="1">
        <f>SUM(OSRRefT22_14x_0)</f>
        <v>1000</v>
      </c>
      <c r="U102" s="1"/>
      <c r="V102" s="5">
        <f t="shared" si="65"/>
        <v>2.5706319693045976E-4</v>
      </c>
      <c r="W102" s="1"/>
      <c r="X102" s="1">
        <f t="shared" si="66"/>
        <v>-1000</v>
      </c>
      <c r="Y102" s="1"/>
      <c r="Z102" s="5">
        <f t="shared" si="67"/>
        <v>-1</v>
      </c>
    </row>
    <row r="103" spans="1:26" s="24" customFormat="1" hidden="1" outlineLevel="2" x14ac:dyDescent="0.25">
      <c r="A103" s="29"/>
      <c r="B103" s="11" t="str">
        <f>CONCATENATE("          ", "6336", " - ", "PROFESSIONAL SERVICES")</f>
        <v xml:space="preserve">          6336 - PROFESSIONAL SERVICES</v>
      </c>
      <c r="C103" s="11"/>
      <c r="D103" s="7"/>
      <c r="E103" s="2"/>
      <c r="F103" s="6">
        <f t="shared" si="60"/>
        <v>0</v>
      </c>
      <c r="G103" s="2"/>
      <c r="H103" s="7">
        <v>0</v>
      </c>
      <c r="I103" s="2"/>
      <c r="J103" s="6">
        <f t="shared" si="61"/>
        <v>0</v>
      </c>
      <c r="K103" s="2"/>
      <c r="L103" s="7">
        <f t="shared" si="62"/>
        <v>0</v>
      </c>
      <c r="M103" s="2"/>
      <c r="N103" s="6">
        <f t="shared" si="63"/>
        <v>0</v>
      </c>
      <c r="O103" s="11"/>
      <c r="P103" s="7"/>
      <c r="Q103" s="2"/>
      <c r="R103" s="6">
        <f t="shared" si="64"/>
        <v>0</v>
      </c>
      <c r="S103" s="2"/>
      <c r="T103" s="7">
        <v>1000</v>
      </c>
      <c r="U103" s="2"/>
      <c r="V103" s="6">
        <f t="shared" si="65"/>
        <v>2.5706319693045976E-4</v>
      </c>
      <c r="W103" s="2"/>
      <c r="X103" s="7">
        <f t="shared" si="66"/>
        <v>-1000</v>
      </c>
      <c r="Y103" s="2"/>
      <c r="Z103" s="6">
        <f t="shared" si="67"/>
        <v>-1</v>
      </c>
    </row>
    <row r="104" spans="1:26" s="28" customFormat="1" outlineLevel="1" collapsed="1" x14ac:dyDescent="0.25">
      <c r="A104" s="27"/>
      <c r="B104" s="14" t="str">
        <f>CONCATENATE("     ","Rent                                              ")</f>
        <v xml:space="preserve">     Rent                                              </v>
      </c>
      <c r="C104" s="14"/>
      <c r="D104" s="1">
        <f>SUM(OSRRefD22_15x_0)</f>
        <v>6100</v>
      </c>
      <c r="E104" s="1"/>
      <c r="F104" s="5">
        <f t="shared" si="60"/>
        <v>1.043711599968134E-2</v>
      </c>
      <c r="G104" s="1"/>
      <c r="H104" s="1">
        <f>SUM(OSRRefH22_15x_0)</f>
        <v>6100</v>
      </c>
      <c r="I104" s="1"/>
      <c r="J104" s="5">
        <f t="shared" si="61"/>
        <v>7.4515739312183077E-3</v>
      </c>
      <c r="K104" s="1"/>
      <c r="L104" s="1">
        <f t="shared" si="62"/>
        <v>0</v>
      </c>
      <c r="M104" s="1"/>
      <c r="N104" s="5">
        <f t="shared" si="63"/>
        <v>0</v>
      </c>
      <c r="O104" s="14"/>
      <c r="P104" s="1">
        <f>SUM(OSRRefP22_15x_0)</f>
        <v>18300</v>
      </c>
      <c r="Q104" s="1"/>
      <c r="R104" s="5">
        <f t="shared" si="64"/>
        <v>7.8956043707839509E-3</v>
      </c>
      <c r="S104" s="1"/>
      <c r="T104" s="1">
        <f>SUM(OSRRefT22_15x_0)</f>
        <v>18300</v>
      </c>
      <c r="U104" s="1"/>
      <c r="V104" s="5">
        <f t="shared" si="65"/>
        <v>4.7042565038274142E-3</v>
      </c>
      <c r="W104" s="1"/>
      <c r="X104" s="1">
        <f t="shared" si="66"/>
        <v>0</v>
      </c>
      <c r="Y104" s="1"/>
      <c r="Z104" s="5">
        <f t="shared" si="67"/>
        <v>0</v>
      </c>
    </row>
    <row r="105" spans="1:26" s="24" customFormat="1" hidden="1" outlineLevel="2" x14ac:dyDescent="0.25">
      <c r="A105" s="29"/>
      <c r="B105" s="11" t="str">
        <f>CONCATENATE("          ", "6273", " - ", "RENT")</f>
        <v xml:space="preserve">          6273 - RENT</v>
      </c>
      <c r="C105" s="11"/>
      <c r="D105" s="7">
        <v>6100</v>
      </c>
      <c r="E105" s="2"/>
      <c r="F105" s="6">
        <f t="shared" si="60"/>
        <v>1.043711599968134E-2</v>
      </c>
      <c r="G105" s="2"/>
      <c r="H105" s="7">
        <v>6100</v>
      </c>
      <c r="I105" s="2"/>
      <c r="J105" s="6">
        <f t="shared" si="61"/>
        <v>7.4515739312183077E-3</v>
      </c>
      <c r="K105" s="2"/>
      <c r="L105" s="7">
        <f t="shared" si="62"/>
        <v>0</v>
      </c>
      <c r="M105" s="2"/>
      <c r="N105" s="6">
        <f t="shared" si="63"/>
        <v>0</v>
      </c>
      <c r="O105" s="11"/>
      <c r="P105" s="7">
        <v>18300</v>
      </c>
      <c r="Q105" s="2"/>
      <c r="R105" s="6">
        <f t="shared" si="64"/>
        <v>7.8956043707839509E-3</v>
      </c>
      <c r="S105" s="2"/>
      <c r="T105" s="7">
        <v>18300</v>
      </c>
      <c r="U105" s="2"/>
      <c r="V105" s="6">
        <f t="shared" si="65"/>
        <v>4.7042565038274142E-3</v>
      </c>
      <c r="W105" s="2"/>
      <c r="X105" s="7">
        <f t="shared" si="66"/>
        <v>0</v>
      </c>
      <c r="Y105" s="2"/>
      <c r="Z105" s="6">
        <f t="shared" si="67"/>
        <v>0</v>
      </c>
    </row>
    <row r="106" spans="1:26" s="28" customFormat="1" outlineLevel="1" collapsed="1" x14ac:dyDescent="0.25">
      <c r="A106" s="27"/>
      <c r="B106" s="14" t="str">
        <f>CONCATENATE("     ","Repair and Maintenance                            ")</f>
        <v xml:space="preserve">     Repair and Maintenance                            </v>
      </c>
      <c r="C106" s="14"/>
      <c r="D106" s="1">
        <f>SUM(OSRRefD22_16x_0)</f>
        <v>4189.5</v>
      </c>
      <c r="E106" s="1"/>
      <c r="F106" s="5">
        <f t="shared" si="60"/>
        <v>7.1682454886336025E-3</v>
      </c>
      <c r="G106" s="1"/>
      <c r="H106" s="1">
        <f>SUM(OSRRefH22_16x_0)</f>
        <v>13145</v>
      </c>
      <c r="I106" s="1"/>
      <c r="J106" s="5">
        <f t="shared" si="61"/>
        <v>1.6057531037026992E-2</v>
      </c>
      <c r="K106" s="1"/>
      <c r="L106" s="1">
        <f t="shared" si="62"/>
        <v>-8955.5</v>
      </c>
      <c r="M106" s="1"/>
      <c r="N106" s="5">
        <f t="shared" si="63"/>
        <v>-0.68128565994674783</v>
      </c>
      <c r="O106" s="14"/>
      <c r="P106" s="1">
        <f>SUM(OSRRefP22_16x_0)</f>
        <v>77016.56</v>
      </c>
      <c r="Q106" s="1"/>
      <c r="R106" s="5">
        <f t="shared" si="64"/>
        <v>3.3229086762772919E-2</v>
      </c>
      <c r="S106" s="1"/>
      <c r="T106" s="1">
        <f>SUM(OSRRefT22_16x_0)</f>
        <v>69055</v>
      </c>
      <c r="U106" s="1"/>
      <c r="V106" s="5">
        <f t="shared" si="65"/>
        <v>1.7751499064032901E-2</v>
      </c>
      <c r="W106" s="1"/>
      <c r="X106" s="1">
        <f t="shared" si="66"/>
        <v>7961.5599999999977</v>
      </c>
      <c r="Y106" s="1"/>
      <c r="Z106" s="5">
        <f t="shared" si="67"/>
        <v>0.115293027297082</v>
      </c>
    </row>
    <row r="107" spans="1:26" s="24" customFormat="1" hidden="1" outlineLevel="2" x14ac:dyDescent="0.25">
      <c r="A107" s="29"/>
      <c r="B107" s="11" t="str">
        <f>CONCATENATE("          ", "6371", " - ", "COMPUTER SOFTWARE MAINTENANCE")</f>
        <v xml:space="preserve">          6371 - COMPUTER SOFTWARE MAINTENANCE</v>
      </c>
      <c r="C107" s="11"/>
      <c r="D107" s="7"/>
      <c r="E107" s="2"/>
      <c r="F107" s="6">
        <f t="shared" si="60"/>
        <v>0</v>
      </c>
      <c r="G107" s="2"/>
      <c r="H107" s="7">
        <v>1000</v>
      </c>
      <c r="I107" s="2"/>
      <c r="J107" s="6">
        <f t="shared" si="61"/>
        <v>1.2215694969210341E-3</v>
      </c>
      <c r="K107" s="2"/>
      <c r="L107" s="7">
        <f t="shared" si="62"/>
        <v>-1000</v>
      </c>
      <c r="M107" s="2"/>
      <c r="N107" s="6">
        <f t="shared" si="63"/>
        <v>-1</v>
      </c>
      <c r="O107" s="11"/>
      <c r="P107" s="7">
        <v>59623.5</v>
      </c>
      <c r="Q107" s="2"/>
      <c r="R107" s="6">
        <f t="shared" si="64"/>
        <v>2.5724785092974694E-2</v>
      </c>
      <c r="S107" s="2"/>
      <c r="T107" s="7">
        <v>42000</v>
      </c>
      <c r="U107" s="2"/>
      <c r="V107" s="6">
        <f t="shared" si="65"/>
        <v>1.0796654271079311E-2</v>
      </c>
      <c r="W107" s="2"/>
      <c r="X107" s="7">
        <f t="shared" si="66"/>
        <v>17623.5</v>
      </c>
      <c r="Y107" s="2"/>
      <c r="Z107" s="6">
        <f t="shared" si="67"/>
        <v>0.41960714285714285</v>
      </c>
    </row>
    <row r="108" spans="1:26" s="24" customFormat="1" hidden="1" outlineLevel="2" x14ac:dyDescent="0.25">
      <c r="A108" s="29"/>
      <c r="B108" s="11" t="str">
        <f>CONCATENATE("          ", "6372", " - ", "COMPUTER HARDWARE MAINTENANCE")</f>
        <v xml:space="preserve">          6372 - COMPUTER HARDWARE MAINTENANCE</v>
      </c>
      <c r="C108" s="11"/>
      <c r="D108" s="7"/>
      <c r="E108" s="2"/>
      <c r="F108" s="6">
        <f t="shared" si="60"/>
        <v>0</v>
      </c>
      <c r="G108" s="2"/>
      <c r="H108" s="7">
        <v>3750</v>
      </c>
      <c r="I108" s="2"/>
      <c r="J108" s="6">
        <f t="shared" si="61"/>
        <v>4.5808856134538778E-3</v>
      </c>
      <c r="K108" s="2"/>
      <c r="L108" s="7">
        <f t="shared" si="62"/>
        <v>-3750</v>
      </c>
      <c r="M108" s="2"/>
      <c r="N108" s="6">
        <f t="shared" si="63"/>
        <v>-1</v>
      </c>
      <c r="O108" s="11"/>
      <c r="P108" s="7"/>
      <c r="Q108" s="2"/>
      <c r="R108" s="6">
        <f t="shared" si="64"/>
        <v>0</v>
      </c>
      <c r="S108" s="2"/>
      <c r="T108" s="7">
        <v>7870</v>
      </c>
      <c r="U108" s="2"/>
      <c r="V108" s="6">
        <f t="shared" si="65"/>
        <v>2.0230873598427184E-3</v>
      </c>
      <c r="W108" s="2"/>
      <c r="X108" s="7">
        <f t="shared" si="66"/>
        <v>-7870</v>
      </c>
      <c r="Y108" s="2"/>
      <c r="Z108" s="6">
        <f t="shared" si="67"/>
        <v>-1</v>
      </c>
    </row>
    <row r="109" spans="1:26" s="24" customFormat="1" hidden="1" outlineLevel="2" x14ac:dyDescent="0.25">
      <c r="A109" s="29"/>
      <c r="B109" s="11" t="str">
        <f>CONCATENATE("          ", "6373", " - ", "MAINTENANCE CONTRACTS")</f>
        <v xml:space="preserve">          6373 - MAINTENANCE CONTRACTS</v>
      </c>
      <c r="C109" s="11"/>
      <c r="D109" s="7">
        <v>1366.9</v>
      </c>
      <c r="E109" s="2"/>
      <c r="F109" s="6">
        <f t="shared" si="60"/>
        <v>2.3387694852400696E-3</v>
      </c>
      <c r="G109" s="2"/>
      <c r="H109" s="7">
        <v>8355</v>
      </c>
      <c r="I109" s="2"/>
      <c r="J109" s="6">
        <f t="shared" si="61"/>
        <v>1.020621314677524E-2</v>
      </c>
      <c r="K109" s="2"/>
      <c r="L109" s="7">
        <f t="shared" si="62"/>
        <v>-6988.1</v>
      </c>
      <c r="M109" s="2"/>
      <c r="N109" s="6">
        <f t="shared" si="63"/>
        <v>-0.83639736684619992</v>
      </c>
      <c r="O109" s="11"/>
      <c r="P109" s="7">
        <v>8031.95</v>
      </c>
      <c r="Q109" s="2"/>
      <c r="R109" s="6">
        <f t="shared" si="64"/>
        <v>3.4654152746403364E-3</v>
      </c>
      <c r="S109" s="2"/>
      <c r="T109" s="7">
        <v>19065</v>
      </c>
      <c r="U109" s="2"/>
      <c r="V109" s="6">
        <f t="shared" si="65"/>
        <v>4.9009098494792154E-3</v>
      </c>
      <c r="W109" s="2"/>
      <c r="X109" s="7">
        <f t="shared" si="66"/>
        <v>-11033.05</v>
      </c>
      <c r="Y109" s="2"/>
      <c r="Z109" s="6">
        <f t="shared" si="67"/>
        <v>-0.57870705481248352</v>
      </c>
    </row>
    <row r="110" spans="1:26" s="24" customFormat="1" hidden="1" outlineLevel="2" x14ac:dyDescent="0.25">
      <c r="A110" s="29"/>
      <c r="B110" s="11" t="str">
        <f>CONCATENATE("          ", "6375", " - ", "OUTSIDE REPAIRS &amp; MAINTENANCE")</f>
        <v xml:space="preserve">          6375 - OUTSIDE REPAIRS &amp; MAINTENANCE</v>
      </c>
      <c r="C110" s="11"/>
      <c r="D110" s="7">
        <v>2822.6</v>
      </c>
      <c r="E110" s="2"/>
      <c r="F110" s="6">
        <f t="shared" si="60"/>
        <v>4.8294760033935329E-3</v>
      </c>
      <c r="G110" s="2"/>
      <c r="H110" s="7">
        <v>40</v>
      </c>
      <c r="I110" s="2"/>
      <c r="J110" s="6">
        <f t="shared" si="61"/>
        <v>4.8862779876841363E-5</v>
      </c>
      <c r="K110" s="2"/>
      <c r="L110" s="7">
        <f t="shared" si="62"/>
        <v>2782.6</v>
      </c>
      <c r="M110" s="2"/>
      <c r="N110" s="6">
        <f t="shared" si="63"/>
        <v>69.564999999999998</v>
      </c>
      <c r="O110" s="11"/>
      <c r="P110" s="7">
        <v>9361.11</v>
      </c>
      <c r="Q110" s="2"/>
      <c r="R110" s="6">
        <f t="shared" si="64"/>
        <v>4.0388863951578884E-3</v>
      </c>
      <c r="S110" s="2"/>
      <c r="T110" s="7">
        <v>120</v>
      </c>
      <c r="U110" s="2"/>
      <c r="V110" s="6">
        <f t="shared" si="65"/>
        <v>3.0847583631655175E-5</v>
      </c>
      <c r="W110" s="2"/>
      <c r="X110" s="7">
        <f t="shared" si="66"/>
        <v>9241.11</v>
      </c>
      <c r="Y110" s="2"/>
      <c r="Z110" s="6">
        <f t="shared" si="67"/>
        <v>77.009250000000009</v>
      </c>
    </row>
    <row r="111" spans="1:26" s="28" customFormat="1" outlineLevel="1" collapsed="1" x14ac:dyDescent="0.25">
      <c r="A111" s="27"/>
      <c r="B111" s="14" t="str">
        <f>CONCATENATE("     ","Royalty &amp; Commissions                             ")</f>
        <v xml:space="preserve">     Royalty &amp; Commissions                             </v>
      </c>
      <c r="C111" s="14"/>
      <c r="D111" s="1">
        <f>SUM(OSRRefD22_17x_0)</f>
        <v>1174.22</v>
      </c>
      <c r="E111" s="1"/>
      <c r="F111" s="5">
        <f t="shared" ref="F111:F115" si="68">IF(D$12=0,0,D111/D$12)</f>
        <v>2.0090934998599711E-3</v>
      </c>
      <c r="G111" s="1"/>
      <c r="H111" s="1">
        <f>SUM(OSRRefH22_17x_0)</f>
        <v>1766</v>
      </c>
      <c r="I111" s="1"/>
      <c r="J111" s="5">
        <f t="shared" ref="J111:J115" si="69">IF(H$12=0,0,H111/H$12)</f>
        <v>2.1572917315625462E-3</v>
      </c>
      <c r="K111" s="1"/>
      <c r="L111" s="1">
        <f t="shared" ref="L111:L115" si="70">+D111-H111</f>
        <v>-591.78</v>
      </c>
      <c r="M111" s="1"/>
      <c r="N111" s="5">
        <f t="shared" ref="N111:N115" si="71">IF(H111=0,0,L111/H111)</f>
        <v>-0.33509626274065685</v>
      </c>
      <c r="O111" s="14"/>
      <c r="P111" s="1">
        <f>SUM(OSRRefP22_17x_0)</f>
        <v>9131.2100000000009</v>
      </c>
      <c r="Q111" s="1"/>
      <c r="R111" s="5">
        <f t="shared" ref="R111:R115" si="72">IF(P$12=0,0,P111/P$12)</f>
        <v>3.9396951686637227E-3</v>
      </c>
      <c r="S111" s="1"/>
      <c r="T111" s="1">
        <f>SUM(OSRRefT22_17x_0)</f>
        <v>19360</v>
      </c>
      <c r="U111" s="1"/>
      <c r="V111" s="5">
        <f t="shared" ref="V111:V115" si="73">IF(T$12=0,0,T111/T$12)</f>
        <v>4.9767434925737011E-3</v>
      </c>
      <c r="W111" s="1"/>
      <c r="X111" s="1">
        <f t="shared" ref="X111:X115" si="74">+P111-T111</f>
        <v>-10228.789999999999</v>
      </c>
      <c r="Y111" s="1"/>
      <c r="Z111" s="5">
        <f t="shared" ref="Z111:Z115" si="75">IF(T111=0,0,X111/T111)</f>
        <v>-0.52834659090909086</v>
      </c>
    </row>
    <row r="112" spans="1:26" s="24" customFormat="1" hidden="1" outlineLevel="2" x14ac:dyDescent="0.25">
      <c r="A112" s="29"/>
      <c r="B112" s="11" t="str">
        <f>CONCATENATE("          ", "6252", " - ", "ROYALTY DUE CSTV")</f>
        <v xml:space="preserve">          6252 - ROYALTY DUE CSTV</v>
      </c>
      <c r="C112" s="11"/>
      <c r="D112" s="7"/>
      <c r="E112" s="2"/>
      <c r="F112" s="6">
        <f t="shared" si="68"/>
        <v>0</v>
      </c>
      <c r="G112" s="2"/>
      <c r="H112" s="7">
        <v>1266</v>
      </c>
      <c r="I112" s="2"/>
      <c r="J112" s="6">
        <f t="shared" si="69"/>
        <v>1.546506983102029E-3</v>
      </c>
      <c r="K112" s="2"/>
      <c r="L112" s="7">
        <f t="shared" si="70"/>
        <v>-1266</v>
      </c>
      <c r="M112" s="2"/>
      <c r="N112" s="6">
        <f t="shared" si="71"/>
        <v>-1</v>
      </c>
      <c r="O112" s="11"/>
      <c r="P112" s="7"/>
      <c r="Q112" s="2"/>
      <c r="R112" s="6">
        <f t="shared" si="72"/>
        <v>0</v>
      </c>
      <c r="S112" s="2"/>
      <c r="T112" s="7">
        <v>4188</v>
      </c>
      <c r="U112" s="2"/>
      <c r="V112" s="6">
        <f t="shared" si="73"/>
        <v>1.0765806687447655E-3</v>
      </c>
      <c r="W112" s="2"/>
      <c r="X112" s="7">
        <f t="shared" si="74"/>
        <v>-4188</v>
      </c>
      <c r="Y112" s="2"/>
      <c r="Z112" s="6">
        <f t="shared" si="75"/>
        <v>-1</v>
      </c>
    </row>
    <row r="113" spans="1:26" s="24" customFormat="1" hidden="1" outlineLevel="2" x14ac:dyDescent="0.25">
      <c r="A113" s="29"/>
      <c r="B113" s="11" t="str">
        <f>CONCATENATE("          ", "6253", " - ", "ROYALTY DUE ATHLETICS-LRG")</f>
        <v xml:space="preserve">          6253 - ROYALTY DUE ATHLETICS-LRG</v>
      </c>
      <c r="C113" s="11"/>
      <c r="D113" s="7"/>
      <c r="E113" s="2"/>
      <c r="F113" s="6">
        <f t="shared" si="68"/>
        <v>0</v>
      </c>
      <c r="G113" s="2"/>
      <c r="H113" s="7">
        <v>0</v>
      </c>
      <c r="I113" s="2"/>
      <c r="J113" s="6">
        <f t="shared" si="69"/>
        <v>0</v>
      </c>
      <c r="K113" s="2"/>
      <c r="L113" s="7">
        <f t="shared" si="70"/>
        <v>0</v>
      </c>
      <c r="M113" s="2"/>
      <c r="N113" s="6">
        <f t="shared" si="71"/>
        <v>0</v>
      </c>
      <c r="O113" s="11"/>
      <c r="P113" s="7">
        <v>14376.54</v>
      </c>
      <c r="Q113" s="2"/>
      <c r="R113" s="6">
        <f t="shared" si="72"/>
        <v>6.2028126809153174E-3</v>
      </c>
      <c r="S113" s="2"/>
      <c r="T113" s="7">
        <v>5672</v>
      </c>
      <c r="U113" s="2"/>
      <c r="V113" s="6">
        <f t="shared" si="73"/>
        <v>1.4580624529895679E-3</v>
      </c>
      <c r="W113" s="2"/>
      <c r="X113" s="7">
        <f t="shared" si="74"/>
        <v>8704.5400000000009</v>
      </c>
      <c r="Y113" s="2"/>
      <c r="Z113" s="6">
        <f t="shared" si="75"/>
        <v>1.5346509167842033</v>
      </c>
    </row>
    <row r="114" spans="1:26" s="24" customFormat="1" hidden="1" outlineLevel="2" x14ac:dyDescent="0.25">
      <c r="A114" s="29"/>
      <c r="B114" s="11" t="str">
        <f>CONCATENATE("          ", "6254", " - ", "ROYALTY &amp; COMMISSIONS")</f>
        <v xml:space="preserve">          6254 - ROYALTY &amp; COMMISSIONS</v>
      </c>
      <c r="C114" s="11"/>
      <c r="D114" s="7"/>
      <c r="E114" s="2"/>
      <c r="F114" s="6">
        <f t="shared" si="68"/>
        <v>0</v>
      </c>
      <c r="G114" s="2"/>
      <c r="H114" s="7">
        <v>0</v>
      </c>
      <c r="I114" s="2"/>
      <c r="J114" s="6">
        <f t="shared" si="69"/>
        <v>0</v>
      </c>
      <c r="K114" s="2"/>
      <c r="L114" s="7">
        <f t="shared" si="70"/>
        <v>0</v>
      </c>
      <c r="M114" s="2"/>
      <c r="N114" s="6">
        <f t="shared" si="71"/>
        <v>0</v>
      </c>
      <c r="O114" s="11"/>
      <c r="P114" s="7">
        <v>-7027.5</v>
      </c>
      <c r="Q114" s="2"/>
      <c r="R114" s="6">
        <f t="shared" si="72"/>
        <v>-3.0320415145182631E-3</v>
      </c>
      <c r="S114" s="2"/>
      <c r="T114" s="7">
        <v>0</v>
      </c>
      <c r="U114" s="2"/>
      <c r="V114" s="6">
        <f t="shared" si="73"/>
        <v>0</v>
      </c>
      <c r="W114" s="2"/>
      <c r="X114" s="7">
        <f t="shared" si="74"/>
        <v>-7027.5</v>
      </c>
      <c r="Y114" s="2"/>
      <c r="Z114" s="6">
        <f t="shared" si="75"/>
        <v>0</v>
      </c>
    </row>
    <row r="115" spans="1:26" s="24" customFormat="1" hidden="1" outlineLevel="2" x14ac:dyDescent="0.25">
      <c r="A115" s="29"/>
      <c r="B115" s="11" t="str">
        <f>CONCATENATE("          ", "6259", " - ", "ROYALTY &amp; COMMISSIONS")</f>
        <v xml:space="preserve">          6259 - ROYALTY &amp; COMMISSIONS</v>
      </c>
      <c r="C115" s="11"/>
      <c r="D115" s="7">
        <v>1174.22</v>
      </c>
      <c r="E115" s="2"/>
      <c r="F115" s="6">
        <f t="shared" si="68"/>
        <v>2.0090934998599711E-3</v>
      </c>
      <c r="G115" s="2"/>
      <c r="H115" s="7">
        <v>500</v>
      </c>
      <c r="I115" s="2"/>
      <c r="J115" s="6">
        <f t="shared" si="69"/>
        <v>6.1078474846051705E-4</v>
      </c>
      <c r="K115" s="2"/>
      <c r="L115" s="7">
        <f t="shared" si="70"/>
        <v>674.22</v>
      </c>
      <c r="M115" s="2"/>
      <c r="N115" s="6">
        <f t="shared" si="71"/>
        <v>1.3484400000000001</v>
      </c>
      <c r="O115" s="11"/>
      <c r="P115" s="7">
        <v>1782.17</v>
      </c>
      <c r="Q115" s="2"/>
      <c r="R115" s="6">
        <f t="shared" si="72"/>
        <v>7.6892400226666855E-4</v>
      </c>
      <c r="S115" s="2"/>
      <c r="T115" s="7">
        <v>9500</v>
      </c>
      <c r="U115" s="2"/>
      <c r="V115" s="6">
        <f t="shared" si="73"/>
        <v>2.4421003708393679E-3</v>
      </c>
      <c r="W115" s="2"/>
      <c r="X115" s="7">
        <f t="shared" si="74"/>
        <v>-7717.83</v>
      </c>
      <c r="Y115" s="2"/>
      <c r="Z115" s="6">
        <f t="shared" si="75"/>
        <v>-0.81240315789473683</v>
      </c>
    </row>
    <row r="116" spans="1:26" s="28" customFormat="1" outlineLevel="1" collapsed="1" x14ac:dyDescent="0.25">
      <c r="A116" s="27"/>
      <c r="B116" s="14" t="str">
        <f>CONCATENATE("     ","Services                                          ")</f>
        <v xml:space="preserve">     Services                                          </v>
      </c>
      <c r="C116" s="14"/>
      <c r="D116" s="1">
        <f>SUM(OSRRefD22_18x_0)</f>
        <v>4255.71</v>
      </c>
      <c r="E116" s="1"/>
      <c r="F116" s="5">
        <f t="shared" ref="F116:F119" si="76">IF(D$12=0,0,D116/D$12)</f>
        <v>7.2815309722957175E-3</v>
      </c>
      <c r="G116" s="1"/>
      <c r="H116" s="1">
        <f>SUM(OSRRefH22_18x_0)</f>
        <v>4420</v>
      </c>
      <c r="I116" s="1"/>
      <c r="J116" s="5">
        <f t="shared" ref="J116:J119" si="77">IF(H$12=0,0,H116/H$12)</f>
        <v>5.399337176390971E-3</v>
      </c>
      <c r="K116" s="1"/>
      <c r="L116" s="1">
        <f t="shared" ref="L116:L119" si="78">+D116-H116</f>
        <v>-164.28999999999996</v>
      </c>
      <c r="M116" s="1"/>
      <c r="N116" s="5">
        <f t="shared" ref="N116:N119" si="79">IF(H116=0,0,L116/H116)</f>
        <v>-3.7169683257918543E-2</v>
      </c>
      <c r="O116" s="14"/>
      <c r="P116" s="1">
        <f>SUM(OSRRefP22_18x_0)</f>
        <v>21220.760000000002</v>
      </c>
      <c r="Q116" s="1"/>
      <c r="R116" s="5">
        <f t="shared" ref="R116:R119" si="80">IF(P$12=0,0,P116/P$12)</f>
        <v>9.1557773446643304E-3</v>
      </c>
      <c r="S116" s="1"/>
      <c r="T116" s="1">
        <f>SUM(OSRRefT22_18x_0)</f>
        <v>13140</v>
      </c>
      <c r="U116" s="1"/>
      <c r="V116" s="5">
        <f t="shared" ref="V116:V119" si="81">IF(T$12=0,0,T116/T$12)</f>
        <v>3.3778104076662417E-3</v>
      </c>
      <c r="W116" s="1"/>
      <c r="X116" s="1">
        <f t="shared" ref="X116:X119" si="82">+P116-T116</f>
        <v>8080.760000000002</v>
      </c>
      <c r="Y116" s="1"/>
      <c r="Z116" s="5">
        <f t="shared" ref="Z116:Z119" si="83">IF(T116=0,0,X116/T116)</f>
        <v>0.61497412480974145</v>
      </c>
    </row>
    <row r="117" spans="1:26" s="24" customFormat="1" hidden="1" outlineLevel="2" x14ac:dyDescent="0.25">
      <c r="A117" s="29"/>
      <c r="B117" s="11" t="str">
        <f>CONCATENATE("          ", "6282", " - ", "JANITORIAL/EXTERMINATOR EXPENS")</f>
        <v xml:space="preserve">          6282 - JANITORIAL/EXTERMINATOR EXPENS</v>
      </c>
      <c r="C117" s="11"/>
      <c r="D117" s="7">
        <v>684.57</v>
      </c>
      <c r="E117" s="2"/>
      <c r="F117" s="6">
        <f t="shared" si="76"/>
        <v>1.1713010655576813E-3</v>
      </c>
      <c r="G117" s="2"/>
      <c r="H117" s="7">
        <v>4300</v>
      </c>
      <c r="I117" s="2"/>
      <c r="J117" s="6">
        <f t="shared" si="77"/>
        <v>5.2527488367604463E-3</v>
      </c>
      <c r="K117" s="2"/>
      <c r="L117" s="7">
        <f t="shared" si="78"/>
        <v>-3615.43</v>
      </c>
      <c r="M117" s="2"/>
      <c r="N117" s="6">
        <f t="shared" si="79"/>
        <v>-0.84079767441860465</v>
      </c>
      <c r="O117" s="11"/>
      <c r="P117" s="7">
        <v>975.57</v>
      </c>
      <c r="Q117" s="2"/>
      <c r="R117" s="6">
        <f t="shared" si="80"/>
        <v>4.2091337464512018E-4</v>
      </c>
      <c r="S117" s="2"/>
      <c r="T117" s="7">
        <v>12900</v>
      </c>
      <c r="U117" s="2"/>
      <c r="V117" s="6">
        <f t="shared" si="81"/>
        <v>3.3161152404029312E-3</v>
      </c>
      <c r="W117" s="2"/>
      <c r="X117" s="7">
        <f t="shared" si="82"/>
        <v>-11924.43</v>
      </c>
      <c r="Y117" s="2"/>
      <c r="Z117" s="6">
        <f t="shared" si="83"/>
        <v>-0.92437441860465119</v>
      </c>
    </row>
    <row r="118" spans="1:26" s="24" customFormat="1" hidden="1" outlineLevel="2" x14ac:dyDescent="0.25">
      <c r="A118" s="29"/>
      <c r="B118" s="11" t="str">
        <f>CONCATENATE("          ", "6284", " - ", "TRASH REMOVAL EXPENSE")</f>
        <v xml:space="preserve">          6284 - TRASH REMOVAL EXPENSE</v>
      </c>
      <c r="C118" s="11"/>
      <c r="D118" s="7">
        <v>149.69999999999999</v>
      </c>
      <c r="E118" s="2"/>
      <c r="F118" s="6">
        <f t="shared" si="76"/>
        <v>2.5613709264791747E-4</v>
      </c>
      <c r="G118" s="2"/>
      <c r="H118" s="7">
        <v>120</v>
      </c>
      <c r="I118" s="2"/>
      <c r="J118" s="6">
        <f t="shared" si="77"/>
        <v>1.465883396305241E-4</v>
      </c>
      <c r="K118" s="2"/>
      <c r="L118" s="7">
        <f t="shared" si="78"/>
        <v>29.699999999999989</v>
      </c>
      <c r="M118" s="2"/>
      <c r="N118" s="6">
        <f t="shared" si="79"/>
        <v>0.24749999999999991</v>
      </c>
      <c r="O118" s="11"/>
      <c r="P118" s="7">
        <v>441.97</v>
      </c>
      <c r="Q118" s="2"/>
      <c r="R118" s="6">
        <f t="shared" si="80"/>
        <v>1.9068963189920125E-4</v>
      </c>
      <c r="S118" s="2"/>
      <c r="T118" s="7">
        <v>240</v>
      </c>
      <c r="U118" s="2"/>
      <c r="V118" s="6">
        <f t="shared" si="81"/>
        <v>6.1695167263310351E-5</v>
      </c>
      <c r="W118" s="2"/>
      <c r="X118" s="7">
        <f t="shared" si="82"/>
        <v>201.97000000000003</v>
      </c>
      <c r="Y118" s="2"/>
      <c r="Z118" s="6">
        <f t="shared" si="83"/>
        <v>0.84154166666666674</v>
      </c>
    </row>
    <row r="119" spans="1:26" s="24" customFormat="1" hidden="1" outlineLevel="2" x14ac:dyDescent="0.25">
      <c r="A119" s="29"/>
      <c r="B119" s="11" t="str">
        <f>CONCATENATE("          ", "6285", " - ", "JANITORIAL SERVICES")</f>
        <v xml:space="preserve">          6285 - JANITORIAL SERVICES</v>
      </c>
      <c r="C119" s="11"/>
      <c r="D119" s="7">
        <v>3421.44</v>
      </c>
      <c r="E119" s="2"/>
      <c r="F119" s="6">
        <f t="shared" si="76"/>
        <v>5.8540928140901191E-3</v>
      </c>
      <c r="G119" s="2"/>
      <c r="H119" s="7"/>
      <c r="I119" s="2"/>
      <c r="J119" s="6">
        <f t="shared" si="77"/>
        <v>0</v>
      </c>
      <c r="K119" s="2"/>
      <c r="L119" s="7">
        <f t="shared" si="78"/>
        <v>3421.44</v>
      </c>
      <c r="M119" s="2"/>
      <c r="N119" s="6">
        <f t="shared" si="79"/>
        <v>0</v>
      </c>
      <c r="O119" s="11"/>
      <c r="P119" s="7">
        <v>19803.22</v>
      </c>
      <c r="Q119" s="2"/>
      <c r="R119" s="6">
        <f t="shared" si="80"/>
        <v>8.5441743381200093E-3</v>
      </c>
      <c r="S119" s="2"/>
      <c r="T119" s="7"/>
      <c r="U119" s="2"/>
      <c r="V119" s="6">
        <f t="shared" si="81"/>
        <v>0</v>
      </c>
      <c r="W119" s="2"/>
      <c r="X119" s="7">
        <f t="shared" si="82"/>
        <v>19803.22</v>
      </c>
      <c r="Y119" s="2"/>
      <c r="Z119" s="6">
        <f t="shared" si="83"/>
        <v>0</v>
      </c>
    </row>
    <row r="120" spans="1:26" s="28" customFormat="1" outlineLevel="1" collapsed="1" x14ac:dyDescent="0.25">
      <c r="A120" s="27"/>
      <c r="B120" s="14" t="str">
        <f>CONCATENATE("     ","Subscriptions &amp; Dues                              ")</f>
        <v xml:space="preserve">     Subscriptions &amp; Dues                              </v>
      </c>
      <c r="C120" s="14"/>
      <c r="D120" s="1">
        <f>SUM(OSRRefD22_19x_0)</f>
        <v>-72.56</v>
      </c>
      <c r="E120" s="1"/>
      <c r="F120" s="5">
        <f t="shared" ref="F120:F122" si="84">IF(D$12=0,0,D120/D$12)</f>
        <v>-1.2415035031752099E-4</v>
      </c>
      <c r="G120" s="1"/>
      <c r="H120" s="1">
        <f>SUM(OSRRefH22_19x_0)</f>
        <v>381</v>
      </c>
      <c r="I120" s="1"/>
      <c r="J120" s="5">
        <f t="shared" ref="J120:J122" si="85">IF(H$12=0,0,H120/H$12)</f>
        <v>4.6541797832691398E-4</v>
      </c>
      <c r="K120" s="1"/>
      <c r="L120" s="1">
        <f t="shared" ref="L120:L122" si="86">+D120-H120</f>
        <v>-453.56</v>
      </c>
      <c r="M120" s="1"/>
      <c r="N120" s="5">
        <f t="shared" ref="N120:N122" si="87">IF(H120=0,0,L120/H120)</f>
        <v>-1.1904461942257218</v>
      </c>
      <c r="O120" s="14"/>
      <c r="P120" s="1">
        <f>SUM(OSRRefP22_19x_0)</f>
        <v>52.76</v>
      </c>
      <c r="Q120" s="1"/>
      <c r="R120" s="5">
        <f t="shared" ref="R120:R122" si="88">IF(P$12=0,0,P120/P$12)</f>
        <v>2.2763502000139959E-5</v>
      </c>
      <c r="S120" s="1"/>
      <c r="T120" s="1">
        <f>SUM(OSRRefT22_19x_0)</f>
        <v>3518</v>
      </c>
      <c r="U120" s="1"/>
      <c r="V120" s="5">
        <f t="shared" ref="V120:V122" si="89">IF(T$12=0,0,T120/T$12)</f>
        <v>9.0434832680135748E-4</v>
      </c>
      <c r="W120" s="1"/>
      <c r="X120" s="1">
        <f t="shared" ref="X120:X122" si="90">+P120-T120</f>
        <v>-3465.24</v>
      </c>
      <c r="Y120" s="1"/>
      <c r="Z120" s="5">
        <f t="shared" ref="Z120:Z122" si="91">IF(T120=0,0,X120/T120)</f>
        <v>-0.98500284252416137</v>
      </c>
    </row>
    <row r="121" spans="1:26" s="24" customFormat="1" hidden="1" outlineLevel="2" x14ac:dyDescent="0.25">
      <c r="A121" s="29"/>
      <c r="B121" s="11" t="str">
        <f>CONCATENATE("          ", "6258", " - ", "MEMBERSHIP DUES")</f>
        <v xml:space="preserve">          6258 - MEMBERSHIP DUES</v>
      </c>
      <c r="C121" s="11"/>
      <c r="D121" s="7">
        <v>-72.56</v>
      </c>
      <c r="E121" s="2"/>
      <c r="F121" s="6">
        <f t="shared" si="84"/>
        <v>-1.2415035031752099E-4</v>
      </c>
      <c r="G121" s="2"/>
      <c r="H121" s="7">
        <v>300</v>
      </c>
      <c r="I121" s="2"/>
      <c r="J121" s="6">
        <f t="shared" si="85"/>
        <v>3.6647084907631022E-4</v>
      </c>
      <c r="K121" s="2"/>
      <c r="L121" s="7">
        <f t="shared" si="86"/>
        <v>-372.56</v>
      </c>
      <c r="M121" s="2"/>
      <c r="N121" s="6">
        <f t="shared" si="87"/>
        <v>-1.2418666666666667</v>
      </c>
      <c r="O121" s="11"/>
      <c r="P121" s="7">
        <v>52.76</v>
      </c>
      <c r="Q121" s="2"/>
      <c r="R121" s="6">
        <f t="shared" si="88"/>
        <v>2.2763502000139959E-5</v>
      </c>
      <c r="S121" s="2"/>
      <c r="T121" s="7">
        <v>3295</v>
      </c>
      <c r="U121" s="2"/>
      <c r="V121" s="6">
        <f t="shared" si="89"/>
        <v>8.4702323388586502E-4</v>
      </c>
      <c r="W121" s="2"/>
      <c r="X121" s="7">
        <f t="shared" si="90"/>
        <v>-3242.24</v>
      </c>
      <c r="Y121" s="2"/>
      <c r="Z121" s="6">
        <f t="shared" si="91"/>
        <v>-0.98398786039453712</v>
      </c>
    </row>
    <row r="122" spans="1:26" s="24" customFormat="1" hidden="1" outlineLevel="2" x14ac:dyDescent="0.25">
      <c r="A122" s="29"/>
      <c r="B122" s="11" t="str">
        <f>CONCATENATE("          ", "6275", " - ", "SUBSCRIPTIONS")</f>
        <v xml:space="preserve">          6275 - SUBSCRIPTIONS</v>
      </c>
      <c r="C122" s="11"/>
      <c r="D122" s="7"/>
      <c r="E122" s="2"/>
      <c r="F122" s="6">
        <f t="shared" si="84"/>
        <v>0</v>
      </c>
      <c r="G122" s="2"/>
      <c r="H122" s="7">
        <v>81</v>
      </c>
      <c r="I122" s="2"/>
      <c r="J122" s="6">
        <f t="shared" si="85"/>
        <v>9.8947129250603763E-5</v>
      </c>
      <c r="K122" s="2"/>
      <c r="L122" s="7">
        <f t="shared" si="86"/>
        <v>-81</v>
      </c>
      <c r="M122" s="2"/>
      <c r="N122" s="6">
        <f t="shared" si="87"/>
        <v>-1</v>
      </c>
      <c r="O122" s="11"/>
      <c r="P122" s="7"/>
      <c r="Q122" s="2"/>
      <c r="R122" s="6">
        <f t="shared" si="88"/>
        <v>0</v>
      </c>
      <c r="S122" s="2"/>
      <c r="T122" s="7">
        <v>223</v>
      </c>
      <c r="U122" s="2"/>
      <c r="V122" s="6">
        <f t="shared" si="89"/>
        <v>5.7325092915492531E-5</v>
      </c>
      <c r="W122" s="2"/>
      <c r="X122" s="7">
        <f t="shared" si="90"/>
        <v>-223</v>
      </c>
      <c r="Y122" s="2"/>
      <c r="Z122" s="6">
        <f t="shared" si="91"/>
        <v>-1</v>
      </c>
    </row>
    <row r="123" spans="1:26" s="28" customFormat="1" outlineLevel="1" collapsed="1" x14ac:dyDescent="0.25">
      <c r="A123" s="27"/>
      <c r="B123" s="14" t="str">
        <f>CONCATENATE("     ","Supplies                                          ")</f>
        <v xml:space="preserve">     Supplies                                          </v>
      </c>
      <c r="C123" s="14"/>
      <c r="D123" s="1">
        <f>SUM(OSRRefD22_20x_0)</f>
        <v>5351.82</v>
      </c>
      <c r="E123" s="1"/>
      <c r="F123" s="5">
        <f t="shared" ref="F123:F130" si="92">IF(D$12=0,0,D123/D$12)</f>
        <v>9.1569780572810806E-3</v>
      </c>
      <c r="G123" s="1"/>
      <c r="H123" s="1">
        <f>SUM(OSRRefH22_20x_0)</f>
        <v>15580</v>
      </c>
      <c r="I123" s="1"/>
      <c r="J123" s="5">
        <f t="shared" ref="J123:J130" si="93">IF(H$12=0,0,H123/H$12)</f>
        <v>1.9032052762029711E-2</v>
      </c>
      <c r="K123" s="1"/>
      <c r="L123" s="1">
        <f t="shared" ref="L123:L130" si="94">+D123-H123</f>
        <v>-10228.18</v>
      </c>
      <c r="M123" s="1"/>
      <c r="N123" s="5">
        <f t="shared" ref="N123:N130" si="95">IF(H123=0,0,L123/H123)</f>
        <v>-0.65649422336328633</v>
      </c>
      <c r="O123" s="14"/>
      <c r="P123" s="1">
        <f>SUM(OSRRefP22_20x_0)</f>
        <v>27586.53</v>
      </c>
      <c r="Q123" s="1"/>
      <c r="R123" s="5">
        <f t="shared" ref="R123:R130" si="96">IF(P$12=0,0,P123/P$12)</f>
        <v>1.1902312942227463E-2</v>
      </c>
      <c r="S123" s="1"/>
      <c r="T123" s="1">
        <f>SUM(OSRRefT22_20x_0)</f>
        <v>33440</v>
      </c>
      <c r="U123" s="1"/>
      <c r="V123" s="5">
        <f t="shared" ref="V123:V130" si="97">IF(T$12=0,0,T123/T$12)</f>
        <v>8.5961933053545752E-3</v>
      </c>
      <c r="W123" s="1"/>
      <c r="X123" s="1">
        <f t="shared" ref="X123:X130" si="98">+P123-T123</f>
        <v>-5853.4700000000012</v>
      </c>
      <c r="Y123" s="1"/>
      <c r="Z123" s="5">
        <f t="shared" ref="Z123:Z130" si="99">IF(T123=0,0,X123/T123)</f>
        <v>-0.17504395933014358</v>
      </c>
    </row>
    <row r="124" spans="1:26" s="24" customFormat="1" hidden="1" outlineLevel="2" x14ac:dyDescent="0.25">
      <c r="A124" s="29"/>
      <c r="B124" s="11" t="str">
        <f>CONCATENATE("          ", "6234", " - ", "EXPENDABLE SUPPLIES &amp; EQUIPMEN")</f>
        <v xml:space="preserve">          6234 - EXPENDABLE SUPPLIES &amp; EQUIPMEN</v>
      </c>
      <c r="C124" s="11"/>
      <c r="D124" s="7"/>
      <c r="E124" s="2"/>
      <c r="F124" s="6">
        <f t="shared" si="92"/>
        <v>0</v>
      </c>
      <c r="G124" s="2"/>
      <c r="H124" s="7">
        <v>300</v>
      </c>
      <c r="I124" s="2"/>
      <c r="J124" s="6">
        <f t="shared" si="93"/>
        <v>3.6647084907631022E-4</v>
      </c>
      <c r="K124" s="2"/>
      <c r="L124" s="7">
        <f t="shared" si="94"/>
        <v>-300</v>
      </c>
      <c r="M124" s="2"/>
      <c r="N124" s="6">
        <f t="shared" si="95"/>
        <v>-1</v>
      </c>
      <c r="O124" s="11"/>
      <c r="P124" s="7"/>
      <c r="Q124" s="2"/>
      <c r="R124" s="6">
        <f t="shared" si="96"/>
        <v>0</v>
      </c>
      <c r="S124" s="2"/>
      <c r="T124" s="7">
        <v>300</v>
      </c>
      <c r="U124" s="2"/>
      <c r="V124" s="6">
        <f t="shared" si="97"/>
        <v>7.7118959079137928E-5</v>
      </c>
      <c r="W124" s="2"/>
      <c r="X124" s="7">
        <f t="shared" si="98"/>
        <v>-300</v>
      </c>
      <c r="Y124" s="2"/>
      <c r="Z124" s="6">
        <f t="shared" si="99"/>
        <v>-1</v>
      </c>
    </row>
    <row r="125" spans="1:26" s="24" customFormat="1" hidden="1" outlineLevel="2" x14ac:dyDescent="0.25">
      <c r="A125" s="29"/>
      <c r="B125" s="11" t="str">
        <f>CONCATENATE("          ", "6235", " - ", "COVID-19 EXPENSES")</f>
        <v xml:space="preserve">          6235 - COVID-19 EXPENSES</v>
      </c>
      <c r="C125" s="11"/>
      <c r="D125" s="7">
        <v>462.49</v>
      </c>
      <c r="E125" s="2"/>
      <c r="F125" s="6">
        <f t="shared" si="92"/>
        <v>7.913216030643645E-4</v>
      </c>
      <c r="G125" s="2"/>
      <c r="H125" s="7">
        <v>125</v>
      </c>
      <c r="I125" s="2"/>
      <c r="J125" s="6">
        <f t="shared" si="93"/>
        <v>1.5269618711512926E-4</v>
      </c>
      <c r="K125" s="2"/>
      <c r="L125" s="7">
        <f t="shared" si="94"/>
        <v>337.49</v>
      </c>
      <c r="M125" s="2"/>
      <c r="N125" s="6">
        <f t="shared" si="95"/>
        <v>2.6999200000000001</v>
      </c>
      <c r="O125" s="11"/>
      <c r="P125" s="7">
        <v>3430.32</v>
      </c>
      <c r="Q125" s="2"/>
      <c r="R125" s="6">
        <f t="shared" si="96"/>
        <v>1.4800245674965904E-3</v>
      </c>
      <c r="S125" s="2"/>
      <c r="T125" s="7">
        <v>375</v>
      </c>
      <c r="U125" s="2"/>
      <c r="V125" s="6">
        <f t="shared" si="97"/>
        <v>9.639869884892241E-5</v>
      </c>
      <c r="W125" s="2"/>
      <c r="X125" s="7">
        <f t="shared" si="98"/>
        <v>3055.32</v>
      </c>
      <c r="Y125" s="2"/>
      <c r="Z125" s="6">
        <f t="shared" si="99"/>
        <v>8.1475200000000001</v>
      </c>
    </row>
    <row r="126" spans="1:26" s="24" customFormat="1" hidden="1" outlineLevel="2" x14ac:dyDescent="0.25">
      <c r="A126" s="29"/>
      <c r="B126" s="11" t="str">
        <f>CONCATENATE("          ", "6237", " - ", "JANITORIAL SUPPLIES")</f>
        <v xml:space="preserve">          6237 - JANITORIAL SUPPLIES</v>
      </c>
      <c r="C126" s="11"/>
      <c r="D126" s="7">
        <v>247</v>
      </c>
      <c r="E126" s="2"/>
      <c r="F126" s="6">
        <f t="shared" si="92"/>
        <v>4.2261764785594936E-4</v>
      </c>
      <c r="G126" s="2"/>
      <c r="H126" s="7">
        <v>10</v>
      </c>
      <c r="I126" s="2"/>
      <c r="J126" s="6">
        <f t="shared" si="93"/>
        <v>1.2215694969210341E-5</v>
      </c>
      <c r="K126" s="2"/>
      <c r="L126" s="7">
        <f t="shared" si="94"/>
        <v>237</v>
      </c>
      <c r="M126" s="2"/>
      <c r="N126" s="6">
        <f t="shared" si="95"/>
        <v>23.7</v>
      </c>
      <c r="O126" s="11"/>
      <c r="P126" s="7">
        <v>2072.69</v>
      </c>
      <c r="Q126" s="2"/>
      <c r="R126" s="6">
        <f t="shared" si="96"/>
        <v>8.942699575562944E-4</v>
      </c>
      <c r="S126" s="2"/>
      <c r="T126" s="7">
        <v>70</v>
      </c>
      <c r="U126" s="2"/>
      <c r="V126" s="6">
        <f t="shared" si="97"/>
        <v>1.7994423785132184E-5</v>
      </c>
      <c r="W126" s="2"/>
      <c r="X126" s="7">
        <f t="shared" si="98"/>
        <v>2002.69</v>
      </c>
      <c r="Y126" s="2"/>
      <c r="Z126" s="6">
        <f t="shared" si="99"/>
        <v>28.609857142857145</v>
      </c>
    </row>
    <row r="127" spans="1:26" s="24" customFormat="1" hidden="1" outlineLevel="2" x14ac:dyDescent="0.25">
      <c r="A127" s="29"/>
      <c r="B127" s="11" t="str">
        <f>CONCATENATE("          ", "6241", " - ", "OFFICE EXPENSE")</f>
        <v xml:space="preserve">          6241 - OFFICE EXPENSE</v>
      </c>
      <c r="C127" s="11"/>
      <c r="D127" s="7">
        <v>278.41000000000003</v>
      </c>
      <c r="E127" s="2"/>
      <c r="F127" s="6">
        <f t="shared" si="92"/>
        <v>4.763602402411938E-4</v>
      </c>
      <c r="G127" s="2"/>
      <c r="H127" s="7">
        <v>470</v>
      </c>
      <c r="I127" s="2"/>
      <c r="J127" s="6">
        <f t="shared" si="93"/>
        <v>5.7413766355288599E-4</v>
      </c>
      <c r="K127" s="2"/>
      <c r="L127" s="7">
        <f t="shared" si="94"/>
        <v>-191.58999999999997</v>
      </c>
      <c r="M127" s="2"/>
      <c r="N127" s="6">
        <f t="shared" si="95"/>
        <v>-0.40763829787234035</v>
      </c>
      <c r="O127" s="11"/>
      <c r="P127" s="7">
        <v>6039.15</v>
      </c>
      <c r="Q127" s="2"/>
      <c r="R127" s="6">
        <f t="shared" si="96"/>
        <v>2.6056141604273164E-3</v>
      </c>
      <c r="S127" s="2"/>
      <c r="T127" s="7">
        <v>1710</v>
      </c>
      <c r="U127" s="2"/>
      <c r="V127" s="6">
        <f t="shared" si="97"/>
        <v>4.395780667510862E-4</v>
      </c>
      <c r="W127" s="2"/>
      <c r="X127" s="7">
        <f t="shared" si="98"/>
        <v>4329.1499999999996</v>
      </c>
      <c r="Y127" s="2"/>
      <c r="Z127" s="6">
        <f t="shared" si="99"/>
        <v>2.5316666666666663</v>
      </c>
    </row>
    <row r="128" spans="1:26" s="24" customFormat="1" hidden="1" outlineLevel="2" x14ac:dyDescent="0.25">
      <c r="A128" s="29"/>
      <c r="B128" s="11" t="str">
        <f>CONCATENATE("          ", "6243", " - ", "PAPER SUPPLIES")</f>
        <v xml:space="preserve">          6243 - PAPER SUPPLIES</v>
      </c>
      <c r="C128" s="11"/>
      <c r="D128" s="7"/>
      <c r="E128" s="2"/>
      <c r="F128" s="6">
        <f t="shared" si="92"/>
        <v>0</v>
      </c>
      <c r="G128" s="2"/>
      <c r="H128" s="7">
        <v>7500</v>
      </c>
      <c r="I128" s="2"/>
      <c r="J128" s="6">
        <f t="shared" si="93"/>
        <v>9.1617712269077556E-3</v>
      </c>
      <c r="K128" s="2"/>
      <c r="L128" s="7">
        <f t="shared" si="94"/>
        <v>-7500</v>
      </c>
      <c r="M128" s="2"/>
      <c r="N128" s="6">
        <f t="shared" si="95"/>
        <v>-1</v>
      </c>
      <c r="O128" s="11"/>
      <c r="P128" s="7">
        <v>3450.92</v>
      </c>
      <c r="Q128" s="2"/>
      <c r="R128" s="6">
        <f t="shared" si="96"/>
        <v>1.4889125155861066E-3</v>
      </c>
      <c r="S128" s="2"/>
      <c r="T128" s="7">
        <v>12600</v>
      </c>
      <c r="U128" s="2"/>
      <c r="V128" s="6">
        <f t="shared" si="97"/>
        <v>3.2389962813237933E-3</v>
      </c>
      <c r="W128" s="2"/>
      <c r="X128" s="7">
        <f t="shared" si="98"/>
        <v>-9149.08</v>
      </c>
      <c r="Y128" s="2"/>
      <c r="Z128" s="6">
        <f t="shared" si="99"/>
        <v>-0.72611746031746027</v>
      </c>
    </row>
    <row r="129" spans="1:26" s="24" customFormat="1" hidden="1" outlineLevel="2" x14ac:dyDescent="0.25">
      <c r="A129" s="29"/>
      <c r="B129" s="11" t="str">
        <f>CONCATENATE("          ", "6245", " - ", "PRINTING")</f>
        <v xml:space="preserve">          6245 - PRINTING</v>
      </c>
      <c r="C129" s="11"/>
      <c r="D129" s="7">
        <v>276.43</v>
      </c>
      <c r="E129" s="2"/>
      <c r="F129" s="6">
        <f t="shared" si="92"/>
        <v>4.7297245504785459E-4</v>
      </c>
      <c r="G129" s="2"/>
      <c r="H129" s="7">
        <v>1600</v>
      </c>
      <c r="I129" s="2"/>
      <c r="J129" s="6">
        <f t="shared" si="93"/>
        <v>1.9545111950736546E-3</v>
      </c>
      <c r="K129" s="2"/>
      <c r="L129" s="7">
        <f t="shared" si="94"/>
        <v>-1323.57</v>
      </c>
      <c r="M129" s="2"/>
      <c r="N129" s="6">
        <f t="shared" si="95"/>
        <v>-0.82723124999999997</v>
      </c>
      <c r="O129" s="11"/>
      <c r="P129" s="7">
        <v>-323.75</v>
      </c>
      <c r="Q129" s="2"/>
      <c r="R129" s="6">
        <f t="shared" si="96"/>
        <v>-1.3968316475635541E-4</v>
      </c>
      <c r="S129" s="2"/>
      <c r="T129" s="7">
        <v>1655</v>
      </c>
      <c r="U129" s="2"/>
      <c r="V129" s="6">
        <f t="shared" si="97"/>
        <v>4.2543959091991093E-4</v>
      </c>
      <c r="W129" s="2"/>
      <c r="X129" s="7">
        <f t="shared" si="98"/>
        <v>-1978.75</v>
      </c>
      <c r="Y129" s="2"/>
      <c r="Z129" s="6">
        <f t="shared" si="99"/>
        <v>-1.195619335347432</v>
      </c>
    </row>
    <row r="130" spans="1:26" s="24" customFormat="1" hidden="1" outlineLevel="2" x14ac:dyDescent="0.25">
      <c r="A130" s="29"/>
      <c r="B130" s="11" t="str">
        <f>CONCATENATE("          ", "6247", " - ", "STORE SUPPLIES")</f>
        <v xml:space="preserve">          6247 - STORE SUPPLIES</v>
      </c>
      <c r="C130" s="11"/>
      <c r="D130" s="7">
        <v>4087.49</v>
      </c>
      <c r="E130" s="2"/>
      <c r="F130" s="6">
        <f t="shared" si="92"/>
        <v>6.9937061110717184E-3</v>
      </c>
      <c r="G130" s="2"/>
      <c r="H130" s="7">
        <v>5575</v>
      </c>
      <c r="I130" s="2"/>
      <c r="J130" s="6">
        <f t="shared" si="93"/>
        <v>6.8102499453347653E-3</v>
      </c>
      <c r="K130" s="2"/>
      <c r="L130" s="7">
        <f t="shared" si="94"/>
        <v>-1487.5100000000002</v>
      </c>
      <c r="M130" s="2"/>
      <c r="N130" s="6">
        <f t="shared" si="95"/>
        <v>-0.26681793721973096</v>
      </c>
      <c r="O130" s="11"/>
      <c r="P130" s="7">
        <v>12917.2</v>
      </c>
      <c r="Q130" s="2"/>
      <c r="R130" s="6">
        <f t="shared" si="96"/>
        <v>5.5731749059175113E-3</v>
      </c>
      <c r="S130" s="2"/>
      <c r="T130" s="7">
        <v>16730</v>
      </c>
      <c r="U130" s="2"/>
      <c r="V130" s="6">
        <f t="shared" si="97"/>
        <v>4.3006672846465921E-3</v>
      </c>
      <c r="W130" s="2"/>
      <c r="X130" s="7">
        <f t="shared" si="98"/>
        <v>-3812.7999999999993</v>
      </c>
      <c r="Y130" s="2"/>
      <c r="Z130" s="6">
        <f t="shared" si="99"/>
        <v>-0.22790197250448291</v>
      </c>
    </row>
    <row r="131" spans="1:26" s="28" customFormat="1" outlineLevel="1" collapsed="1" x14ac:dyDescent="0.25">
      <c r="A131" s="27"/>
      <c r="B131" s="14" t="str">
        <f>CONCATENATE("     ","Telephone/Data Lines                              ")</f>
        <v xml:space="preserve">     Telephone/Data Lines                              </v>
      </c>
      <c r="C131" s="14"/>
      <c r="D131" s="1">
        <f>SUM(OSRRefD22_21x_0)</f>
        <v>1526.19</v>
      </c>
      <c r="E131" s="1"/>
      <c r="F131" s="5">
        <f t="shared" ref="F131:F133" si="100">IF(D$12=0,0,D131/D$12)</f>
        <v>2.6113150930415843E-3</v>
      </c>
      <c r="G131" s="1"/>
      <c r="H131" s="1">
        <f>SUM(OSRRefH22_21x_0)</f>
        <v>1835</v>
      </c>
      <c r="I131" s="1"/>
      <c r="J131" s="5">
        <f t="shared" ref="J131:J133" si="101">IF(H$12=0,0,H131/H$12)</f>
        <v>2.2415800268500976E-3</v>
      </c>
      <c r="K131" s="1"/>
      <c r="L131" s="1">
        <f t="shared" ref="L131:L133" si="102">+D131-H131</f>
        <v>-308.80999999999995</v>
      </c>
      <c r="M131" s="1"/>
      <c r="N131" s="5">
        <f t="shared" ref="N131:N133" si="103">IF(H131=0,0,L131/H131)</f>
        <v>-0.16828882833787462</v>
      </c>
      <c r="O131" s="14"/>
      <c r="P131" s="1">
        <f>SUM(OSRRefP22_21x_0)</f>
        <v>5217.82</v>
      </c>
      <c r="Q131" s="1"/>
      <c r="R131" s="5">
        <f t="shared" ref="R131:R133" si="104">IF(P$12=0,0,P131/P$12)</f>
        <v>2.2512482184679733E-3</v>
      </c>
      <c r="S131" s="1"/>
      <c r="T131" s="1">
        <f>SUM(OSRRefT22_21x_0)</f>
        <v>5555</v>
      </c>
      <c r="U131" s="1"/>
      <c r="V131" s="5">
        <f t="shared" ref="V131:V133" si="105">IF(T$12=0,0,T131/T$12)</f>
        <v>1.427986058948704E-3</v>
      </c>
      <c r="W131" s="1"/>
      <c r="X131" s="1">
        <f t="shared" ref="X131:X133" si="106">+P131-T131</f>
        <v>-337.18000000000029</v>
      </c>
      <c r="Y131" s="1"/>
      <c r="Z131" s="5">
        <f t="shared" ref="Z131:Z133" si="107">IF(T131=0,0,X131/T131)</f>
        <v>-6.0698469846984751E-2</v>
      </c>
    </row>
    <row r="132" spans="1:26" s="24" customFormat="1" hidden="1" outlineLevel="2" x14ac:dyDescent="0.25">
      <c r="A132" s="29"/>
      <c r="B132" s="11" t="str">
        <f>CONCATENATE("          ", "6303", " - ", "DATA PHONE LINES")</f>
        <v xml:space="preserve">          6303 - DATA PHONE LINES</v>
      </c>
      <c r="C132" s="11"/>
      <c r="D132" s="7"/>
      <c r="E132" s="2"/>
      <c r="F132" s="6">
        <f t="shared" si="100"/>
        <v>0</v>
      </c>
      <c r="G132" s="2"/>
      <c r="H132" s="7">
        <v>0</v>
      </c>
      <c r="I132" s="2"/>
      <c r="J132" s="6">
        <f t="shared" si="101"/>
        <v>0</v>
      </c>
      <c r="K132" s="2"/>
      <c r="L132" s="7">
        <f t="shared" si="102"/>
        <v>0</v>
      </c>
      <c r="M132" s="2"/>
      <c r="N132" s="6">
        <f t="shared" si="103"/>
        <v>0</v>
      </c>
      <c r="O132" s="11"/>
      <c r="P132" s="7">
        <v>295</v>
      </c>
      <c r="Q132" s="2"/>
      <c r="R132" s="6">
        <f t="shared" si="104"/>
        <v>1.272788682722003E-4</v>
      </c>
      <c r="S132" s="2"/>
      <c r="T132" s="7">
        <v>0</v>
      </c>
      <c r="U132" s="2"/>
      <c r="V132" s="6">
        <f t="shared" si="105"/>
        <v>0</v>
      </c>
      <c r="W132" s="2"/>
      <c r="X132" s="7">
        <f t="shared" si="106"/>
        <v>295</v>
      </c>
      <c r="Y132" s="2"/>
      <c r="Z132" s="6">
        <f t="shared" si="107"/>
        <v>0</v>
      </c>
    </row>
    <row r="133" spans="1:26" s="24" customFormat="1" hidden="1" outlineLevel="2" x14ac:dyDescent="0.25">
      <c r="A133" s="29"/>
      <c r="B133" s="11" t="str">
        <f>CONCATENATE("          ", "6309", " - ", "TELEPHONE")</f>
        <v xml:space="preserve">          6309 - TELEPHONE</v>
      </c>
      <c r="C133" s="11"/>
      <c r="D133" s="7">
        <v>1526.19</v>
      </c>
      <c r="E133" s="2"/>
      <c r="F133" s="6">
        <f t="shared" si="100"/>
        <v>2.6113150930415843E-3</v>
      </c>
      <c r="G133" s="2"/>
      <c r="H133" s="7">
        <v>1835</v>
      </c>
      <c r="I133" s="2"/>
      <c r="J133" s="6">
        <f t="shared" si="101"/>
        <v>2.2415800268500976E-3</v>
      </c>
      <c r="K133" s="2"/>
      <c r="L133" s="7">
        <f t="shared" si="102"/>
        <v>-308.80999999999995</v>
      </c>
      <c r="M133" s="2"/>
      <c r="N133" s="6">
        <f t="shared" si="103"/>
        <v>-0.16828882833787462</v>
      </c>
      <c r="O133" s="11"/>
      <c r="P133" s="7">
        <v>4922.82</v>
      </c>
      <c r="Q133" s="2"/>
      <c r="R133" s="6">
        <f t="shared" si="104"/>
        <v>2.1239693501957728E-3</v>
      </c>
      <c r="S133" s="2"/>
      <c r="T133" s="7">
        <v>5555</v>
      </c>
      <c r="U133" s="2"/>
      <c r="V133" s="6">
        <f t="shared" si="105"/>
        <v>1.427986058948704E-3</v>
      </c>
      <c r="W133" s="2"/>
      <c r="X133" s="7">
        <f t="shared" si="106"/>
        <v>-632.18000000000029</v>
      </c>
      <c r="Y133" s="2"/>
      <c r="Z133" s="6">
        <f t="shared" si="107"/>
        <v>-0.11380378037803786</v>
      </c>
    </row>
    <row r="134" spans="1:26" s="28" customFormat="1" outlineLevel="1" collapsed="1" x14ac:dyDescent="0.25">
      <c r="A134" s="27"/>
      <c r="B134" s="14" t="str">
        <f>CONCATENATE("     ","Training                                          ")</f>
        <v xml:space="preserve">     Training                                          </v>
      </c>
      <c r="C134" s="14"/>
      <c r="D134" s="1">
        <f>SUM(OSRRefD22_22x_0)</f>
        <v>595</v>
      </c>
      <c r="E134" s="1"/>
      <c r="F134" s="5">
        <f t="shared" ref="F134:F139" si="108">IF(D$12=0,0,D134/D$12)</f>
        <v>1.0180465606246553E-3</v>
      </c>
      <c r="G134" s="1"/>
      <c r="H134" s="1">
        <f>SUM(OSRRefH22_22x_0)</f>
        <v>0</v>
      </c>
      <c r="I134" s="1"/>
      <c r="J134" s="5">
        <f t="shared" ref="J134:J139" si="109">IF(H$12=0,0,H134/H$12)</f>
        <v>0</v>
      </c>
      <c r="K134" s="1"/>
      <c r="L134" s="1">
        <f t="shared" ref="L134:L139" si="110">+D134-H134</f>
        <v>595</v>
      </c>
      <c r="M134" s="1"/>
      <c r="N134" s="5">
        <f t="shared" ref="N134:N139" si="111">IF(H134=0,0,L134/H134)</f>
        <v>0</v>
      </c>
      <c r="O134" s="14"/>
      <c r="P134" s="1">
        <f>SUM(OSRRefP22_22x_0)</f>
        <v>595</v>
      </c>
      <c r="Q134" s="1"/>
      <c r="R134" s="5">
        <f t="shared" ref="R134:R139" si="112">IF(P$12=0,0,P134/P$12)</f>
        <v>2.5671500549816673E-4</v>
      </c>
      <c r="S134" s="1"/>
      <c r="T134" s="1">
        <f>SUM(OSRRefT22_22x_0)</f>
        <v>0</v>
      </c>
      <c r="U134" s="1"/>
      <c r="V134" s="5">
        <f t="shared" ref="V134:V139" si="113">IF(T$12=0,0,T134/T$12)</f>
        <v>0</v>
      </c>
      <c r="W134" s="1"/>
      <c r="X134" s="1">
        <f t="shared" ref="X134:X139" si="114">+P134-T134</f>
        <v>595</v>
      </c>
      <c r="Y134" s="1"/>
      <c r="Z134" s="5">
        <f t="shared" ref="Z134:Z139" si="115">IF(T134=0,0,X134/T134)</f>
        <v>0</v>
      </c>
    </row>
    <row r="135" spans="1:26" s="24" customFormat="1" hidden="1" outlineLevel="2" x14ac:dyDescent="0.25">
      <c r="A135" s="29"/>
      <c r="B135" s="11" t="str">
        <f>CONCATENATE("          ", "6376", " - ", "TRAINING")</f>
        <v xml:space="preserve">          6376 - TRAINING</v>
      </c>
      <c r="C135" s="11"/>
      <c r="D135" s="7">
        <v>595</v>
      </c>
      <c r="E135" s="2"/>
      <c r="F135" s="6">
        <f t="shared" si="108"/>
        <v>1.0180465606246553E-3</v>
      </c>
      <c r="G135" s="2"/>
      <c r="H135" s="7"/>
      <c r="I135" s="2"/>
      <c r="J135" s="6">
        <f t="shared" si="109"/>
        <v>0</v>
      </c>
      <c r="K135" s="2"/>
      <c r="L135" s="7">
        <f t="shared" si="110"/>
        <v>595</v>
      </c>
      <c r="M135" s="2"/>
      <c r="N135" s="6">
        <f t="shared" si="111"/>
        <v>0</v>
      </c>
      <c r="O135" s="11"/>
      <c r="P135" s="7">
        <v>595</v>
      </c>
      <c r="Q135" s="2"/>
      <c r="R135" s="6">
        <f t="shared" si="112"/>
        <v>2.5671500549816673E-4</v>
      </c>
      <c r="S135" s="2"/>
      <c r="T135" s="7"/>
      <c r="U135" s="2"/>
      <c r="V135" s="6">
        <f t="shared" si="113"/>
        <v>0</v>
      </c>
      <c r="W135" s="2"/>
      <c r="X135" s="7">
        <f t="shared" si="114"/>
        <v>595</v>
      </c>
      <c r="Y135" s="2"/>
      <c r="Z135" s="6">
        <f t="shared" si="115"/>
        <v>0</v>
      </c>
    </row>
    <row r="136" spans="1:26" s="28" customFormat="1" outlineLevel="1" collapsed="1" x14ac:dyDescent="0.25">
      <c r="A136" s="27"/>
      <c r="B136" s="14" t="str">
        <f>CONCATENATE("     ","Travel                                            ")</f>
        <v xml:space="preserve">     Travel                                            </v>
      </c>
      <c r="C136" s="14"/>
      <c r="D136" s="1">
        <f>SUM(OSRRefD22_23x_0)</f>
        <v>27.39</v>
      </c>
      <c r="E136" s="1"/>
      <c r="F136" s="5">
        <f t="shared" si="108"/>
        <v>4.6864361841192118E-5</v>
      </c>
      <c r="G136" s="1"/>
      <c r="H136" s="1">
        <f>SUM(OSRRefH22_23x_0)</f>
        <v>175</v>
      </c>
      <c r="I136" s="1"/>
      <c r="J136" s="5">
        <f t="shared" si="109"/>
        <v>2.1377466196118096E-4</v>
      </c>
      <c r="K136" s="1"/>
      <c r="L136" s="1">
        <f t="shared" si="110"/>
        <v>-147.61000000000001</v>
      </c>
      <c r="M136" s="1"/>
      <c r="N136" s="5">
        <f t="shared" si="111"/>
        <v>-0.84348571428571439</v>
      </c>
      <c r="O136" s="14"/>
      <c r="P136" s="1">
        <f>SUM(OSRRefP22_23x_0)</f>
        <v>710.53</v>
      </c>
      <c r="Q136" s="1"/>
      <c r="R136" s="5">
        <f t="shared" si="112"/>
        <v>3.0656086194388637E-4</v>
      </c>
      <c r="S136" s="1"/>
      <c r="T136" s="1">
        <f>SUM(OSRRefT22_23x_0)</f>
        <v>525</v>
      </c>
      <c r="U136" s="1"/>
      <c r="V136" s="5">
        <f t="shared" si="113"/>
        <v>1.3495817838849139E-4</v>
      </c>
      <c r="W136" s="1"/>
      <c r="X136" s="1">
        <f t="shared" si="114"/>
        <v>185.52999999999997</v>
      </c>
      <c r="Y136" s="1"/>
      <c r="Z136" s="5">
        <f t="shared" si="115"/>
        <v>0.35339047619047614</v>
      </c>
    </row>
    <row r="137" spans="1:26" s="24" customFormat="1" hidden="1" outlineLevel="2" x14ac:dyDescent="0.25">
      <c r="A137" s="29"/>
      <c r="B137" s="11" t="str">
        <f>CONCATENATE("          ", "6292", " - ", "TRAVEL/CONFERENCE")</f>
        <v xml:space="preserve">          6292 - TRAVEL/CONFERENCE</v>
      </c>
      <c r="C137" s="11"/>
      <c r="D137" s="7"/>
      <c r="E137" s="2"/>
      <c r="F137" s="6">
        <f t="shared" si="108"/>
        <v>0</v>
      </c>
      <c r="G137" s="2"/>
      <c r="H137" s="7">
        <v>125</v>
      </c>
      <c r="I137" s="2"/>
      <c r="J137" s="6">
        <f t="shared" si="109"/>
        <v>1.5269618711512926E-4</v>
      </c>
      <c r="K137" s="2"/>
      <c r="L137" s="7">
        <f t="shared" si="110"/>
        <v>-125</v>
      </c>
      <c r="M137" s="2"/>
      <c r="N137" s="6">
        <f t="shared" si="111"/>
        <v>-1</v>
      </c>
      <c r="O137" s="11"/>
      <c r="P137" s="7">
        <v>495</v>
      </c>
      <c r="Q137" s="2"/>
      <c r="R137" s="6">
        <f t="shared" si="112"/>
        <v>2.1356962642284457E-4</v>
      </c>
      <c r="S137" s="2"/>
      <c r="T137" s="7">
        <v>375</v>
      </c>
      <c r="U137" s="2"/>
      <c r="V137" s="6">
        <f t="shared" si="113"/>
        <v>9.639869884892241E-5</v>
      </c>
      <c r="W137" s="2"/>
      <c r="X137" s="7">
        <f t="shared" si="114"/>
        <v>120</v>
      </c>
      <c r="Y137" s="2"/>
      <c r="Z137" s="6">
        <f t="shared" si="115"/>
        <v>0.32</v>
      </c>
    </row>
    <row r="138" spans="1:26" s="24" customFormat="1" hidden="1" outlineLevel="2" x14ac:dyDescent="0.25">
      <c r="A138" s="29"/>
      <c r="B138" s="11" t="str">
        <f>CONCATENATE("          ", "6294", " - ", "TRAVEL OPERATIONAL")</f>
        <v xml:space="preserve">          6294 - TRAVEL OPERATIONAL</v>
      </c>
      <c r="C138" s="11"/>
      <c r="D138" s="7">
        <v>27.39</v>
      </c>
      <c r="E138" s="2"/>
      <c r="F138" s="6">
        <f t="shared" si="108"/>
        <v>4.6864361841192118E-5</v>
      </c>
      <c r="G138" s="2"/>
      <c r="H138" s="7">
        <v>25</v>
      </c>
      <c r="I138" s="2"/>
      <c r="J138" s="6">
        <f t="shared" si="109"/>
        <v>3.0539237423025854E-5</v>
      </c>
      <c r="K138" s="2"/>
      <c r="L138" s="7">
        <f t="shared" si="110"/>
        <v>2.3900000000000006</v>
      </c>
      <c r="M138" s="2"/>
      <c r="N138" s="6">
        <f t="shared" si="111"/>
        <v>9.5600000000000018E-2</v>
      </c>
      <c r="O138" s="11"/>
      <c r="P138" s="7">
        <v>215.53</v>
      </c>
      <c r="Q138" s="2"/>
      <c r="R138" s="6">
        <f t="shared" si="112"/>
        <v>9.2991235521041801E-5</v>
      </c>
      <c r="S138" s="2"/>
      <c r="T138" s="7">
        <v>75</v>
      </c>
      <c r="U138" s="2"/>
      <c r="V138" s="6">
        <f t="shared" si="113"/>
        <v>1.9279739769784482E-5</v>
      </c>
      <c r="W138" s="2"/>
      <c r="X138" s="7">
        <f t="shared" si="114"/>
        <v>140.53</v>
      </c>
      <c r="Y138" s="2"/>
      <c r="Z138" s="6">
        <f t="shared" si="115"/>
        <v>1.8737333333333333</v>
      </c>
    </row>
    <row r="139" spans="1:26" s="24" customFormat="1" hidden="1" outlineLevel="2" x14ac:dyDescent="0.25">
      <c r="A139" s="29"/>
      <c r="B139" s="11" t="str">
        <f>CONCATENATE("          ", "6298", " - ", "VEHICLE MILEAGE")</f>
        <v xml:space="preserve">          6298 - VEHICLE MILEAGE</v>
      </c>
      <c r="C139" s="11"/>
      <c r="D139" s="7"/>
      <c r="E139" s="2"/>
      <c r="F139" s="6">
        <f t="shared" si="108"/>
        <v>0</v>
      </c>
      <c r="G139" s="2"/>
      <c r="H139" s="7">
        <v>25</v>
      </c>
      <c r="I139" s="2"/>
      <c r="J139" s="6">
        <f t="shared" si="109"/>
        <v>3.0539237423025854E-5</v>
      </c>
      <c r="K139" s="2"/>
      <c r="L139" s="7">
        <f t="shared" si="110"/>
        <v>-25</v>
      </c>
      <c r="M139" s="2"/>
      <c r="N139" s="6">
        <f t="shared" si="111"/>
        <v>-1</v>
      </c>
      <c r="O139" s="11"/>
      <c r="P139" s="7"/>
      <c r="Q139" s="2"/>
      <c r="R139" s="6">
        <f t="shared" si="112"/>
        <v>0</v>
      </c>
      <c r="S139" s="2"/>
      <c r="T139" s="7">
        <v>75</v>
      </c>
      <c r="U139" s="2"/>
      <c r="V139" s="6">
        <f t="shared" si="113"/>
        <v>1.9279739769784482E-5</v>
      </c>
      <c r="W139" s="2"/>
      <c r="X139" s="7">
        <f t="shared" si="114"/>
        <v>-75</v>
      </c>
      <c r="Y139" s="2"/>
      <c r="Z139" s="6">
        <f t="shared" si="115"/>
        <v>-1</v>
      </c>
    </row>
    <row r="140" spans="1:26" s="28" customFormat="1" outlineLevel="1" collapsed="1" x14ac:dyDescent="0.25">
      <c r="A140" s="27"/>
      <c r="B140" s="14" t="str">
        <f>CONCATENATE("     ","Utilities                                         ")</f>
        <v xml:space="preserve">     Utilities                                         </v>
      </c>
      <c r="C140" s="14"/>
      <c r="D140" s="1">
        <f>SUM(OSRRefD22_24x_0)</f>
        <v>6037.6</v>
      </c>
      <c r="E140" s="1"/>
      <c r="F140" s="5">
        <f t="shared" ref="F140:F141" si="116">IF(D$12=0,0,D140/D$12)</f>
        <v>1.033034943601247E-2</v>
      </c>
      <c r="G140" s="1"/>
      <c r="H140" s="1">
        <f>SUM(OSRRefH22_24x_0)</f>
        <v>6120</v>
      </c>
      <c r="I140" s="1"/>
      <c r="J140" s="5">
        <f t="shared" ref="J140:J141" si="117">IF(H$12=0,0,H140/H$12)</f>
        <v>7.4760053211567288E-3</v>
      </c>
      <c r="K140" s="1"/>
      <c r="L140" s="1">
        <f t="shared" ref="L140:L141" si="118">+D140-H140</f>
        <v>-82.399999999999636</v>
      </c>
      <c r="M140" s="1"/>
      <c r="N140" s="5">
        <f t="shared" ref="N140:N141" si="119">IF(H140=0,0,L140/H140)</f>
        <v>-1.346405228758164E-2</v>
      </c>
      <c r="O140" s="14"/>
      <c r="P140" s="1">
        <f>SUM(OSRRefP22_24x_0)</f>
        <v>18111.38</v>
      </c>
      <c r="Q140" s="1"/>
      <c r="R140" s="5">
        <f t="shared" ref="R140:R141" si="120">IF(P$12=0,0,P140/P$12)</f>
        <v>7.8142235567720784E-3</v>
      </c>
      <c r="S140" s="1"/>
      <c r="T140" s="1">
        <f>SUM(OSRRefT22_24x_0)</f>
        <v>18360</v>
      </c>
      <c r="U140" s="1"/>
      <c r="V140" s="5">
        <f t="shared" ref="V140:V141" si="121">IF(T$12=0,0,T140/T$12)</f>
        <v>4.7196802956432412E-3</v>
      </c>
      <c r="W140" s="1"/>
      <c r="X140" s="1">
        <f t="shared" ref="X140:X141" si="122">+P140-T140</f>
        <v>-248.61999999999898</v>
      </c>
      <c r="Y140" s="1"/>
      <c r="Z140" s="5">
        <f t="shared" ref="Z140:Z141" si="123">IF(T140=0,0,X140/T140)</f>
        <v>-1.3541394335511927E-2</v>
      </c>
    </row>
    <row r="141" spans="1:26" s="24" customFormat="1" hidden="1" outlineLevel="2" x14ac:dyDescent="0.25">
      <c r="A141" s="29"/>
      <c r="B141" s="11" t="str">
        <f>CONCATENATE("          ", "6274", " - ", "UTILITIES")</f>
        <v xml:space="preserve">          6274 - UTILITIES</v>
      </c>
      <c r="C141" s="11"/>
      <c r="D141" s="7">
        <v>6037.6</v>
      </c>
      <c r="E141" s="2"/>
      <c r="F141" s="6">
        <f t="shared" si="116"/>
        <v>1.033034943601247E-2</v>
      </c>
      <c r="G141" s="2"/>
      <c r="H141" s="7">
        <v>6120</v>
      </c>
      <c r="I141" s="2"/>
      <c r="J141" s="6">
        <f t="shared" si="117"/>
        <v>7.4760053211567288E-3</v>
      </c>
      <c r="K141" s="2"/>
      <c r="L141" s="7">
        <f t="shared" si="118"/>
        <v>-82.399999999999636</v>
      </c>
      <c r="M141" s="2"/>
      <c r="N141" s="6">
        <f t="shared" si="119"/>
        <v>-1.346405228758164E-2</v>
      </c>
      <c r="O141" s="11"/>
      <c r="P141" s="7">
        <v>18111.38</v>
      </c>
      <c r="Q141" s="2"/>
      <c r="R141" s="6">
        <f t="shared" si="120"/>
        <v>7.8142235567720784E-3</v>
      </c>
      <c r="S141" s="2"/>
      <c r="T141" s="7">
        <v>18360</v>
      </c>
      <c r="U141" s="2"/>
      <c r="V141" s="6">
        <f t="shared" si="121"/>
        <v>4.7196802956432412E-3</v>
      </c>
      <c r="W141" s="2"/>
      <c r="X141" s="7">
        <f t="shared" si="122"/>
        <v>-248.61999999999898</v>
      </c>
      <c r="Y141" s="2"/>
      <c r="Z141" s="6">
        <f t="shared" si="123"/>
        <v>-1.3541394335511927E-2</v>
      </c>
    </row>
    <row r="142" spans="1:26" s="58" customFormat="1" x14ac:dyDescent="0.25">
      <c r="A142" s="36"/>
      <c r="B142" s="36"/>
      <c r="C142" s="36"/>
      <c r="D142" s="1"/>
      <c r="E142" s="1"/>
      <c r="F142" s="5"/>
      <c r="G142" s="1"/>
      <c r="H142" s="1"/>
      <c r="I142" s="1"/>
      <c r="J142" s="5"/>
      <c r="K142" s="1"/>
      <c r="L142" s="1"/>
      <c r="M142" s="1"/>
      <c r="N142" s="5"/>
      <c r="O142" s="36"/>
      <c r="P142" s="1"/>
      <c r="Q142" s="1"/>
      <c r="R142" s="5"/>
      <c r="S142" s="1"/>
      <c r="T142" s="1"/>
      <c r="U142" s="1"/>
      <c r="V142" s="5"/>
      <c r="W142" s="1"/>
      <c r="X142" s="1"/>
      <c r="Y142" s="1"/>
      <c r="Z142" s="5"/>
    </row>
    <row r="143" spans="1:26" s="23" customFormat="1" collapsed="1" x14ac:dyDescent="0.25">
      <c r="A143" s="10"/>
      <c r="B143" s="26" t="s">
        <v>293</v>
      </c>
      <c r="C143" s="10"/>
      <c r="D143" s="4">
        <f>SUM(OSRRefD25x_0)</f>
        <v>178854.33999999997</v>
      </c>
      <c r="E143" s="4"/>
      <c r="F143" s="12">
        <f t="shared" ref="F143:F148" si="124">IF(D$12=0,0,D143/D$12)</f>
        <v>0.30602024485679441</v>
      </c>
      <c r="G143" s="4"/>
      <c r="H143" s="4">
        <f>SUM(OSRRefH25x_0)</f>
        <v>181128.5</v>
      </c>
      <c r="I143" s="4"/>
      <c r="J143" s="12">
        <f t="shared" ref="J143:J148" si="125">IF(H$12=0,0,H143/H$12)</f>
        <v>0.22126105062306153</v>
      </c>
      <c r="K143" s="4"/>
      <c r="L143" s="4">
        <f t="shared" ref="L143:L148" si="126">+D143-H143</f>
        <v>-2274.1600000000326</v>
      </c>
      <c r="M143" s="4"/>
      <c r="N143" s="12">
        <f t="shared" ref="N143:N148" si="127">IF(H143=0,0,L143/H143)</f>
        <v>-1.2555506173793923E-2</v>
      </c>
      <c r="O143" s="10"/>
      <c r="P143" s="4">
        <f>SUM(OSRRefP25x_0)</f>
        <v>362851.27999999997</v>
      </c>
      <c r="Q143" s="4"/>
      <c r="R143" s="12">
        <f t="shared" ref="R143:R148" si="128">IF(P$12=0,0,P143/P$12)</f>
        <v>0.15655356023565853</v>
      </c>
      <c r="S143" s="4"/>
      <c r="T143" s="4">
        <f>SUM(OSRRefT25x_0)</f>
        <v>255996.5</v>
      </c>
      <c r="U143" s="4"/>
      <c r="V143" s="12">
        <f t="shared" ref="V143:V148" si="129">IF(T$12=0,0,T143/T$12)</f>
        <v>6.5807278693008453E-2</v>
      </c>
      <c r="W143" s="4"/>
      <c r="X143" s="4">
        <f t="shared" ref="X143:X148" si="130">+P143-T143</f>
        <v>106854.77999999997</v>
      </c>
      <c r="Y143" s="4"/>
      <c r="Z143" s="12">
        <f t="shared" ref="Z143:Z148" si="131">IF(T143=0,0,X143/T143)</f>
        <v>0.41740719111394087</v>
      </c>
    </row>
    <row r="144" spans="1:26" s="24" customFormat="1" hidden="1" outlineLevel="1" x14ac:dyDescent="0.25">
      <c r="A144" s="44"/>
      <c r="B144" s="11" t="str">
        <f>CONCATENATE("          ", "9150", " - ", "MISC. INCOME")</f>
        <v xml:space="preserve">          9150 - MISC. INCOME</v>
      </c>
      <c r="C144" s="11"/>
      <c r="D144" s="2">
        <f>--21320.96</f>
        <v>21320.959999999999</v>
      </c>
      <c r="E144" s="2"/>
      <c r="F144" s="19">
        <f t="shared" si="124"/>
        <v>3.6480218482715716E-2</v>
      </c>
      <c r="G144" s="2"/>
      <c r="H144" s="2">
        <v>19148</v>
      </c>
      <c r="I144" s="2"/>
      <c r="J144" s="19">
        <f t="shared" si="125"/>
        <v>2.3390612727043961E-2</v>
      </c>
      <c r="K144" s="2"/>
      <c r="L144" s="2">
        <f t="shared" si="126"/>
        <v>2172.9599999999991</v>
      </c>
      <c r="M144" s="2"/>
      <c r="N144" s="19">
        <f t="shared" si="127"/>
        <v>0.11348234802590344</v>
      </c>
      <c r="O144" s="11"/>
      <c r="P144" s="2">
        <f>--129438.57</f>
        <v>129438.57</v>
      </c>
      <c r="Q144" s="2"/>
      <c r="R144" s="19">
        <f t="shared" si="128"/>
        <v>5.5846761696176202E-2</v>
      </c>
      <c r="S144" s="2"/>
      <c r="T144" s="2">
        <v>51016</v>
      </c>
      <c r="U144" s="2"/>
      <c r="V144" s="19">
        <f t="shared" si="129"/>
        <v>1.3114336054604336E-2</v>
      </c>
      <c r="W144" s="2"/>
      <c r="X144" s="2">
        <f t="shared" si="130"/>
        <v>78422.570000000007</v>
      </c>
      <c r="Y144" s="2"/>
      <c r="Z144" s="19">
        <f t="shared" si="131"/>
        <v>1.5372151873921909</v>
      </c>
    </row>
    <row r="145" spans="1:26" s="24" customFormat="1" hidden="1" outlineLevel="1" x14ac:dyDescent="0.25">
      <c r="A145" s="44"/>
      <c r="B145" s="11" t="str">
        <f>CONCATENATE("          ", "9151", " - ", "MISC. INCOME")</f>
        <v xml:space="preserve">          9151 - MISC. INCOME</v>
      </c>
      <c r="C145" s="11"/>
      <c r="D145" s="2">
        <f>--156907</f>
        <v>156907</v>
      </c>
      <c r="E145" s="2"/>
      <c r="F145" s="19">
        <f t="shared" si="124"/>
        <v>0.26846828855114757</v>
      </c>
      <c r="G145" s="2"/>
      <c r="H145" s="2">
        <v>161980.5</v>
      </c>
      <c r="I145" s="2"/>
      <c r="J145" s="19">
        <f t="shared" si="125"/>
        <v>0.19787043789601755</v>
      </c>
      <c r="K145" s="2"/>
      <c r="L145" s="2">
        <f t="shared" si="126"/>
        <v>-5073.5</v>
      </c>
      <c r="M145" s="2"/>
      <c r="N145" s="19">
        <f t="shared" si="127"/>
        <v>-3.1321671435759244E-2</v>
      </c>
      <c r="O145" s="11"/>
      <c r="P145" s="2">
        <f>--168463.36</f>
        <v>168463.35999999999</v>
      </c>
      <c r="Q145" s="2"/>
      <c r="R145" s="19">
        <f t="shared" si="128"/>
        <v>7.2684155275024601E-2</v>
      </c>
      <c r="S145" s="2"/>
      <c r="T145" s="2">
        <v>204980.5</v>
      </c>
      <c r="U145" s="2"/>
      <c r="V145" s="19">
        <f t="shared" si="129"/>
        <v>5.2692942638404114E-2</v>
      </c>
      <c r="W145" s="2"/>
      <c r="X145" s="2">
        <f t="shared" si="130"/>
        <v>-36517.140000000014</v>
      </c>
      <c r="Y145" s="2"/>
      <c r="Z145" s="19">
        <f t="shared" si="131"/>
        <v>-0.17814933615636616</v>
      </c>
    </row>
    <row r="146" spans="1:26" s="24" customFormat="1" hidden="1" outlineLevel="1" x14ac:dyDescent="0.25">
      <c r="A146" s="44"/>
      <c r="B146" s="11" t="str">
        <f>CONCATENATE("          ", "9152", " - ", "MISC. INCOME")</f>
        <v xml:space="preserve">          9152 - MISC. INCOME</v>
      </c>
      <c r="C146" s="11"/>
      <c r="D146" s="2">
        <f>--935.08</f>
        <v>935.08</v>
      </c>
      <c r="E146" s="2"/>
      <c r="F146" s="19">
        <f t="shared" si="124"/>
        <v>1.5999243326200046E-3</v>
      </c>
      <c r="G146" s="2"/>
      <c r="H146" s="2"/>
      <c r="I146" s="2"/>
      <c r="J146" s="19">
        <f t="shared" si="125"/>
        <v>0</v>
      </c>
      <c r="K146" s="2"/>
      <c r="L146" s="2">
        <f t="shared" si="126"/>
        <v>935.08</v>
      </c>
      <c r="M146" s="2"/>
      <c r="N146" s="19">
        <f t="shared" si="127"/>
        <v>0</v>
      </c>
      <c r="O146" s="11"/>
      <c r="P146" s="2">
        <f>--1938.11</f>
        <v>1938.11</v>
      </c>
      <c r="Q146" s="2"/>
      <c r="R146" s="19">
        <f t="shared" si="128"/>
        <v>8.362049063967258E-4</v>
      </c>
      <c r="S146" s="2"/>
      <c r="T146" s="2"/>
      <c r="U146" s="2"/>
      <c r="V146" s="19">
        <f t="shared" si="129"/>
        <v>0</v>
      </c>
      <c r="W146" s="2"/>
      <c r="X146" s="2">
        <f t="shared" si="130"/>
        <v>1938.11</v>
      </c>
      <c r="Y146" s="2"/>
      <c r="Z146" s="19">
        <f t="shared" si="131"/>
        <v>0</v>
      </c>
    </row>
    <row r="147" spans="1:26" s="24" customFormat="1" hidden="1" outlineLevel="1" x14ac:dyDescent="0.25">
      <c r="A147" s="44"/>
      <c r="B147" s="11" t="str">
        <f>CONCATENATE("          ", "9160", " - ", "MISC. INCOME")</f>
        <v xml:space="preserve">          9160 - MISC. INCOME</v>
      </c>
      <c r="C147" s="11"/>
      <c r="D147" s="2">
        <f>0</f>
        <v>0</v>
      </c>
      <c r="E147" s="2"/>
      <c r="F147" s="19">
        <f t="shared" si="124"/>
        <v>0</v>
      </c>
      <c r="G147" s="2"/>
      <c r="H147" s="2">
        <v>0</v>
      </c>
      <c r="I147" s="2"/>
      <c r="J147" s="19">
        <f t="shared" si="125"/>
        <v>0</v>
      </c>
      <c r="K147" s="2"/>
      <c r="L147" s="2">
        <f t="shared" si="126"/>
        <v>0</v>
      </c>
      <c r="M147" s="2"/>
      <c r="N147" s="19">
        <f t="shared" si="127"/>
        <v>0</v>
      </c>
      <c r="O147" s="11"/>
      <c r="P147" s="2">
        <f>0</f>
        <v>0</v>
      </c>
      <c r="Q147" s="2"/>
      <c r="R147" s="19">
        <f t="shared" si="128"/>
        <v>0</v>
      </c>
      <c r="S147" s="2"/>
      <c r="T147" s="2">
        <v>0</v>
      </c>
      <c r="U147" s="2"/>
      <c r="V147" s="19">
        <f t="shared" si="129"/>
        <v>0</v>
      </c>
      <c r="W147" s="2"/>
      <c r="X147" s="2">
        <f t="shared" si="130"/>
        <v>0</v>
      </c>
      <c r="Y147" s="2"/>
      <c r="Z147" s="19">
        <f t="shared" si="131"/>
        <v>0</v>
      </c>
    </row>
    <row r="148" spans="1:26" s="24" customFormat="1" hidden="1" outlineLevel="1" x14ac:dyDescent="0.25">
      <c r="A148" s="44"/>
      <c r="B148" s="11" t="str">
        <f>CONCATENATE("          ", "9163", " - ", "MISC. INCOME")</f>
        <v xml:space="preserve">          9163 - MISC. INCOME</v>
      </c>
      <c r="C148" s="11"/>
      <c r="D148" s="2">
        <f>-308.7</f>
        <v>-308.7</v>
      </c>
      <c r="E148" s="2"/>
      <c r="F148" s="19">
        <f t="shared" si="124"/>
        <v>-5.2818650968879176E-4</v>
      </c>
      <c r="G148" s="2"/>
      <c r="H148" s="2"/>
      <c r="I148" s="2"/>
      <c r="J148" s="19">
        <f t="shared" si="125"/>
        <v>0</v>
      </c>
      <c r="K148" s="2"/>
      <c r="L148" s="2">
        <f t="shared" si="126"/>
        <v>-308.7</v>
      </c>
      <c r="M148" s="2"/>
      <c r="N148" s="19">
        <f t="shared" si="127"/>
        <v>0</v>
      </c>
      <c r="O148" s="11"/>
      <c r="P148" s="2">
        <f>--63011.24</f>
        <v>63011.24</v>
      </c>
      <c r="Q148" s="2"/>
      <c r="R148" s="19">
        <f t="shared" si="128"/>
        <v>2.7186438358061012E-2</v>
      </c>
      <c r="S148" s="2"/>
      <c r="T148" s="2"/>
      <c r="U148" s="2"/>
      <c r="V148" s="19">
        <f t="shared" si="129"/>
        <v>0</v>
      </c>
      <c r="W148" s="2"/>
      <c r="X148" s="2">
        <f t="shared" si="130"/>
        <v>63011.24</v>
      </c>
      <c r="Y148" s="2"/>
      <c r="Z148" s="19">
        <f t="shared" si="131"/>
        <v>0</v>
      </c>
    </row>
    <row r="149" spans="1:26" x14ac:dyDescent="0.25">
      <c r="A149" s="9"/>
      <c r="B149" s="10"/>
      <c r="C149" s="10"/>
      <c r="D149" s="3"/>
      <c r="E149" s="3"/>
      <c r="F149" s="8"/>
      <c r="G149" s="3"/>
      <c r="H149" s="3"/>
      <c r="I149" s="3"/>
      <c r="J149" s="8"/>
      <c r="K149" s="3"/>
      <c r="L149" s="3"/>
      <c r="M149" s="3"/>
      <c r="N149" s="8"/>
      <c r="O149" s="10"/>
      <c r="P149" s="3"/>
      <c r="Q149" s="3"/>
      <c r="R149" s="8"/>
      <c r="S149" s="3"/>
      <c r="T149" s="3"/>
      <c r="U149" s="3"/>
      <c r="V149" s="8"/>
      <c r="W149" s="3"/>
      <c r="X149" s="3"/>
      <c r="Y149" s="3"/>
      <c r="Z149" s="8"/>
    </row>
    <row r="150" spans="1:26" s="23" customFormat="1" x14ac:dyDescent="0.25">
      <c r="A150" s="10"/>
      <c r="B150" s="25" t="s">
        <v>277</v>
      </c>
      <c r="C150" s="25"/>
      <c r="D150" s="21">
        <f>+D49-D51+D143</f>
        <v>86136.530000000203</v>
      </c>
      <c r="E150" s="13"/>
      <c r="F150" s="20">
        <f>IF(D$12=0,0,D150/D$12)</f>
        <v>0.14737982875738262</v>
      </c>
      <c r="G150" s="13"/>
      <c r="H150" s="21">
        <f>+H49-H51+H143</f>
        <v>184110.99153308722</v>
      </c>
      <c r="I150" s="13"/>
      <c r="J150" s="20">
        <f>IF(H$12=0,0,H150/H$12)</f>
        <v>0.22490437130470611</v>
      </c>
      <c r="K150" s="16"/>
      <c r="L150" s="21">
        <f>+D150-H150</f>
        <v>-97974.461533087015</v>
      </c>
      <c r="M150" s="16"/>
      <c r="N150" s="20">
        <f>IF(H150=0,0,L150/H150)</f>
        <v>-0.53214889951575595</v>
      </c>
      <c r="O150" s="26"/>
      <c r="P150" s="21">
        <f>+P49-P51+P143</f>
        <v>180273.8999999995</v>
      </c>
      <c r="Q150" s="13"/>
      <c r="R150" s="20">
        <f>IF(P$12=0,0,P150/P$12)</f>
        <v>7.777985752886693E-2</v>
      </c>
      <c r="S150" s="13"/>
      <c r="T150" s="21">
        <f>+T49-T51+T143</f>
        <v>514143.97717484133</v>
      </c>
      <c r="U150" s="13"/>
      <c r="V150" s="20">
        <f>IF(T$12=0,0,T150/T$12)</f>
        <v>0.13216749445510606</v>
      </c>
      <c r="W150" s="16"/>
      <c r="X150" s="21">
        <f>+P150-T150</f>
        <v>-333870.07717484183</v>
      </c>
      <c r="Y150" s="16"/>
      <c r="Z150" s="20">
        <f>IF(T150=0,0,X150/T150)</f>
        <v>-0.64937078327634479</v>
      </c>
    </row>
    <row r="151" spans="1:26" x14ac:dyDescent="0.25">
      <c r="A151" s="9"/>
      <c r="B151" s="10"/>
      <c r="C151" s="9"/>
      <c r="D151" s="3"/>
      <c r="E151" s="3"/>
      <c r="F151" s="8"/>
      <c r="G151" s="3"/>
      <c r="H151" s="3"/>
      <c r="I151" s="3"/>
      <c r="J151" s="8"/>
      <c r="K151" s="3"/>
      <c r="L151" s="3"/>
      <c r="M151" s="3"/>
      <c r="N151" s="8"/>
      <c r="P151" s="3"/>
      <c r="Q151" s="3"/>
      <c r="R151" s="8"/>
      <c r="S151" s="3"/>
      <c r="T151" s="3"/>
      <c r="U151" s="3"/>
      <c r="V151" s="8"/>
      <c r="W151" s="3"/>
      <c r="X151" s="3"/>
      <c r="Y151" s="3"/>
      <c r="Z151" s="8"/>
    </row>
    <row r="152" spans="1:26" s="23" customFormat="1" x14ac:dyDescent="0.25">
      <c r="A152" s="52"/>
      <c r="B152" s="10" t="s">
        <v>128</v>
      </c>
      <c r="C152" s="10"/>
      <c r="D152" s="4">
        <v>27869.18</v>
      </c>
      <c r="E152" s="4"/>
      <c r="F152" s="12">
        <f>IF(D$12=0,0,D152/D$12)</f>
        <v>4.7684240078032659E-2</v>
      </c>
      <c r="G152" s="4"/>
      <c r="H152" s="4">
        <v>78418</v>
      </c>
      <c r="I152" s="4"/>
      <c r="J152" s="12">
        <f>IF(H$12=0,0,H152/H$12)</f>
        <v>9.5793036809553644E-2</v>
      </c>
      <c r="K152" s="4"/>
      <c r="L152" s="4">
        <f>+D152-H152</f>
        <v>-50548.82</v>
      </c>
      <c r="M152" s="4"/>
      <c r="N152" s="12">
        <f>IF(H152=0,0,L152/H152)</f>
        <v>-0.64460736055497458</v>
      </c>
      <c r="O152" s="10"/>
      <c r="P152" s="4">
        <v>286880.38</v>
      </c>
      <c r="Q152" s="4"/>
      <c r="R152" s="12">
        <f>IF(P$12=0,0,P152/P$12)</f>
        <v>0.12377562744372463</v>
      </c>
      <c r="S152" s="4"/>
      <c r="T152" s="4">
        <v>422405</v>
      </c>
      <c r="U152" s="4"/>
      <c r="V152" s="12">
        <f>IF(T$12=0,0,T152/T$12)</f>
        <v>0.10858477969941087</v>
      </c>
      <c r="W152" s="4"/>
      <c r="X152" s="4">
        <f>+P152-T152</f>
        <v>-135524.62</v>
      </c>
      <c r="Y152" s="4"/>
      <c r="Z152" s="12">
        <f>IF(T152=0,0,X152/T152)</f>
        <v>-0.32084047300576463</v>
      </c>
    </row>
    <row r="153" spans="1:26" x14ac:dyDescent="0.25">
      <c r="A153" s="9"/>
      <c r="B153" s="10"/>
      <c r="C153" s="10"/>
      <c r="D153" s="3"/>
      <c r="E153" s="3"/>
      <c r="F153" s="8"/>
      <c r="G153" s="3"/>
      <c r="H153" s="3"/>
      <c r="I153" s="3"/>
      <c r="J153" s="8"/>
      <c r="K153" s="3"/>
      <c r="L153" s="3"/>
      <c r="M153" s="3"/>
      <c r="N153" s="8"/>
      <c r="O153" s="10"/>
      <c r="P153" s="3"/>
      <c r="Q153" s="3"/>
      <c r="R153" s="8"/>
      <c r="S153" s="3"/>
      <c r="T153" s="3"/>
      <c r="U153" s="3"/>
      <c r="V153" s="8"/>
      <c r="W153" s="3"/>
      <c r="X153" s="3"/>
      <c r="Y153" s="3"/>
      <c r="Z153" s="8"/>
    </row>
    <row r="154" spans="1:26" s="23" customFormat="1" ht="15.75" thickBot="1" x14ac:dyDescent="0.3">
      <c r="A154" s="10"/>
      <c r="B154" s="25" t="s">
        <v>126</v>
      </c>
      <c r="C154" s="25"/>
      <c r="D154" s="33">
        <f>+D150-D152</f>
        <v>58267.350000000202</v>
      </c>
      <c r="E154" s="13"/>
      <c r="F154" s="31">
        <f>IF(D$12=0,0,D154/D$12)</f>
        <v>9.9695588679349939E-2</v>
      </c>
      <c r="G154" s="13"/>
      <c r="H154" s="33">
        <f>+H150-H152</f>
        <v>105692.99153308722</v>
      </c>
      <c r="I154" s="13"/>
      <c r="J154" s="31">
        <f>IF(H$12=0,0,H154/H$12)</f>
        <v>0.12911133449515247</v>
      </c>
      <c r="K154" s="16"/>
      <c r="L154" s="33">
        <f>D154-H154</f>
        <v>-47425.641533087015</v>
      </c>
      <c r="M154" s="16"/>
      <c r="N154" s="31">
        <f>IF(H154=0,0,L154/H154)</f>
        <v>-0.44871131798971181</v>
      </c>
      <c r="O154" s="26"/>
      <c r="P154" s="33">
        <f>+P150-P152</f>
        <v>-106606.48000000051</v>
      </c>
      <c r="Q154" s="13"/>
      <c r="R154" s="31">
        <f>IF(P$12=0,0,P154/P$12)</f>
        <v>-4.5995769914857695E-2</v>
      </c>
      <c r="S154" s="13"/>
      <c r="T154" s="33">
        <f>+T150-T152</f>
        <v>91738.977174841333</v>
      </c>
      <c r="U154" s="13"/>
      <c r="V154" s="31">
        <f>IF(T$12=0,0,T154/T$12)</f>
        <v>2.3582714755695192E-2</v>
      </c>
      <c r="W154" s="16"/>
      <c r="X154" s="33">
        <f>P154-T154</f>
        <v>-198345.45717484184</v>
      </c>
      <c r="Y154" s="16"/>
      <c r="Z154" s="31">
        <f>IF(T154=0,0,X154/T154)</f>
        <v>-2.1620630977476876</v>
      </c>
    </row>
    <row r="155" spans="1:26" ht="15.75" thickTop="1" x14ac:dyDescent="0.25">
      <c r="A155" s="9"/>
      <c r="B155" s="9"/>
      <c r="C155" s="9"/>
      <c r="D155" s="3"/>
      <c r="E155" s="3"/>
      <c r="F155" s="8"/>
      <c r="G155" s="3"/>
      <c r="H155" s="3"/>
      <c r="I155" s="3"/>
      <c r="J155" s="8"/>
      <c r="K155" s="3"/>
      <c r="L155" s="3"/>
      <c r="M155" s="3"/>
      <c r="N155" s="8"/>
      <c r="P155" s="3"/>
      <c r="Q155" s="3"/>
      <c r="R155" s="8"/>
      <c r="S155" s="3"/>
      <c r="T155" s="3"/>
      <c r="U155" s="3"/>
      <c r="V155" s="8"/>
      <c r="W155" s="3"/>
      <c r="X155" s="3"/>
      <c r="Y155" s="3"/>
      <c r="Z155" s="8"/>
    </row>
    <row r="156" spans="1:26" x14ac:dyDescent="0.25">
      <c r="A156" s="9"/>
      <c r="B156" s="9"/>
      <c r="C156" s="9"/>
      <c r="D156" s="3"/>
      <c r="E156" s="3"/>
      <c r="F156" s="8"/>
      <c r="G156" s="3"/>
      <c r="H156" s="3"/>
      <c r="I156" s="3"/>
      <c r="J156" s="8"/>
      <c r="K156" s="3"/>
      <c r="L156" s="3"/>
      <c r="M156" s="3"/>
      <c r="N156" s="8"/>
      <c r="P156" s="3"/>
      <c r="Q156" s="3"/>
      <c r="R156" s="8"/>
      <c r="S156" s="3"/>
      <c r="T156" s="3"/>
      <c r="U156" s="3"/>
      <c r="V156" s="8"/>
      <c r="W156" s="3"/>
      <c r="X156" s="3"/>
      <c r="Y156" s="3"/>
      <c r="Z156" s="8"/>
    </row>
    <row r="157" spans="1:26" s="23" customFormat="1" ht="15.75" thickBot="1" x14ac:dyDescent="0.3">
      <c r="A157" s="10"/>
      <c r="B157" s="25" t="s">
        <v>294</v>
      </c>
      <c r="C157" s="25"/>
      <c r="D157" s="35">
        <f>SUM(D154:D156)</f>
        <v>58267.350000000202</v>
      </c>
      <c r="E157" s="13"/>
      <c r="F157" s="34">
        <f>IF(D$12=0,0,D157/D$12)</f>
        <v>9.9695588679349939E-2</v>
      </c>
      <c r="G157" s="13"/>
      <c r="H157" s="35">
        <f>SUM(H154:H156)</f>
        <v>105692.99153308722</v>
      </c>
      <c r="I157" s="13"/>
      <c r="J157" s="34">
        <f>IF(H$12=0,0,H157/H$12)</f>
        <v>0.12911133449515247</v>
      </c>
      <c r="K157" s="16"/>
      <c r="L157" s="35">
        <f>+D157-H157</f>
        <v>-47425.641533087015</v>
      </c>
      <c r="M157" s="16"/>
      <c r="N157" s="34">
        <f>IF(H157=0,0,L157/H157)</f>
        <v>-0.44871131798971181</v>
      </c>
      <c r="O157" s="26"/>
      <c r="P157" s="35">
        <f>SUM(P154:P156)</f>
        <v>-106606.48000000051</v>
      </c>
      <c r="Q157" s="13"/>
      <c r="R157" s="34">
        <f>IF(P$12=0,0,P157/P$12)</f>
        <v>-4.5995769914857695E-2</v>
      </c>
      <c r="S157" s="13"/>
      <c r="T157" s="35">
        <f>SUM(T154:T156)</f>
        <v>91738.977174841333</v>
      </c>
      <c r="U157" s="13"/>
      <c r="V157" s="34">
        <f>IF(T$12=0,0,T157/T$12)</f>
        <v>2.3582714755695192E-2</v>
      </c>
      <c r="W157" s="16"/>
      <c r="X157" s="35">
        <f>+P157-T157</f>
        <v>-198345.45717484184</v>
      </c>
      <c r="Y157" s="16"/>
      <c r="Z157" s="34">
        <f>IF(T157=0,0,X157/T157)</f>
        <v>-2.1620630977476876</v>
      </c>
    </row>
    <row r="158" spans="1:26" ht="15.75" thickTop="1" x14ac:dyDescent="0.25">
      <c r="A158" s="9"/>
      <c r="C158" s="9"/>
      <c r="D158" s="18"/>
      <c r="E158" s="18"/>
      <c r="G158" s="18"/>
      <c r="H158" s="18"/>
      <c r="I158" s="18"/>
      <c r="J158" s="43"/>
      <c r="K158" s="18"/>
      <c r="L158" s="18"/>
      <c r="M158" s="18"/>
      <c r="P158" s="18"/>
      <c r="Q158" s="18"/>
      <c r="R158" s="43"/>
      <c r="S158" s="18"/>
      <c r="T158" s="18"/>
      <c r="U158" s="18"/>
      <c r="V158" s="43"/>
      <c r="W158" s="18"/>
      <c r="X158" s="18"/>
    </row>
    <row r="159" spans="1:26" x14ac:dyDescent="0.25">
      <c r="A159" s="9"/>
      <c r="B159" s="61">
        <v>44481.978916550928</v>
      </c>
      <c r="D159" s="18"/>
      <c r="E159" s="18"/>
      <c r="G159" s="18"/>
      <c r="H159" s="18"/>
      <c r="I159" s="18"/>
      <c r="J159" s="43"/>
      <c r="K159" s="18"/>
      <c r="L159" s="18"/>
      <c r="M159" s="18"/>
      <c r="P159" s="18"/>
      <c r="Q159" s="18"/>
      <c r="R159" s="43"/>
      <c r="S159" s="18"/>
      <c r="T159" s="18"/>
      <c r="U159" s="18"/>
      <c r="V159" s="43"/>
      <c r="W159" s="18"/>
      <c r="X159" s="18"/>
    </row>
    <row r="160" spans="1:26" x14ac:dyDescent="0.25">
      <c r="A160" s="9"/>
      <c r="B160" s="56" t="s">
        <v>56</v>
      </c>
      <c r="D160" s="18"/>
      <c r="E160" s="18"/>
      <c r="G160" s="18"/>
      <c r="H160" s="18"/>
      <c r="I160" s="18"/>
      <c r="J160" s="43"/>
      <c r="K160" s="18"/>
      <c r="L160" s="18"/>
      <c r="M160" s="18"/>
      <c r="P160" s="18"/>
      <c r="Q160" s="18"/>
      <c r="R160" s="43"/>
      <c r="S160" s="18"/>
      <c r="T160" s="18"/>
      <c r="U160" s="18"/>
      <c r="V160" s="43"/>
      <c r="W160" s="18"/>
      <c r="X160" s="18"/>
    </row>
    <row r="161" spans="1:24" x14ac:dyDescent="0.25">
      <c r="A161" s="9"/>
      <c r="B161" s="54"/>
      <c r="D161" s="18"/>
      <c r="E161" s="18"/>
      <c r="G161" s="18"/>
      <c r="H161" s="18"/>
      <c r="I161" s="18"/>
      <c r="J161" s="43"/>
      <c r="K161" s="18"/>
      <c r="L161" s="18"/>
      <c r="M161" s="18"/>
      <c r="P161" s="18"/>
      <c r="Q161" s="18"/>
      <c r="R161" s="43"/>
      <c r="S161" s="18"/>
      <c r="T161" s="18"/>
      <c r="U161" s="18"/>
      <c r="V161" s="43"/>
      <c r="W161" s="18"/>
      <c r="X161" s="18"/>
    </row>
    <row r="162" spans="1:24" x14ac:dyDescent="0.25">
      <c r="D162" s="18"/>
      <c r="E162" s="18"/>
      <c r="G162" s="18"/>
      <c r="H162" s="18"/>
      <c r="I162" s="18"/>
      <c r="J162" s="43"/>
      <c r="K162" s="18"/>
      <c r="L162" s="18"/>
      <c r="M162" s="18"/>
      <c r="P162" s="18"/>
      <c r="Q162" s="18"/>
      <c r="R162" s="43"/>
      <c r="S162" s="18"/>
      <c r="T162" s="18"/>
      <c r="U162" s="18"/>
      <c r="V162" s="43"/>
      <c r="W162" s="18"/>
      <c r="X162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313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  <outlinePr summaryBelow="0" summaryRight="0"/>
  </sheetPr>
  <dimension ref="A2:Z17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314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759312.65</v>
      </c>
      <c r="E12" s="4"/>
      <c r="F12" s="12"/>
      <c r="G12" s="4"/>
      <c r="H12" s="4">
        <f>SUM(OSRRefH13x_0)</f>
        <v>1058864</v>
      </c>
      <c r="I12" s="4"/>
      <c r="J12" s="12"/>
      <c r="K12" s="4"/>
      <c r="L12" s="4">
        <f t="shared" ref="L12:L18" si="0">+D12-H12</f>
        <v>-299551.34999999998</v>
      </c>
      <c r="M12" s="4"/>
      <c r="N12" s="12">
        <f t="shared" ref="N12:N18" si="1">IF(H12=0,0,L12/H12)</f>
        <v>-0.28289879531271245</v>
      </c>
      <c r="O12" s="10"/>
      <c r="P12" s="4">
        <f>SUM(OSRRefP13x_0)</f>
        <v>2931285.19</v>
      </c>
      <c r="Q12" s="4"/>
      <c r="R12" s="12"/>
      <c r="S12" s="4"/>
      <c r="T12" s="4">
        <f>SUM(OSRRefT13x_0)</f>
        <v>4784229</v>
      </c>
      <c r="U12" s="4"/>
      <c r="V12" s="12"/>
      <c r="W12" s="4"/>
      <c r="X12" s="4">
        <f t="shared" ref="X12:X18" si="2">+P12-T12</f>
        <v>-1852943.81</v>
      </c>
      <c r="Y12" s="4"/>
      <c r="Z12" s="12">
        <f t="shared" ref="Z12:Z18" si="3">IF(T12=0,0,X12/T12)</f>
        <v>-0.38730249116419807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--599649.46</f>
        <v>599649.46</v>
      </c>
      <c r="E13" s="2"/>
      <c r="F13" s="19"/>
      <c r="G13" s="2"/>
      <c r="H13" s="2">
        <v>1005788</v>
      </c>
      <c r="I13" s="2"/>
      <c r="J13" s="19"/>
      <c r="K13" s="2"/>
      <c r="L13" s="2">
        <f t="shared" si="0"/>
        <v>-406138.54000000004</v>
      </c>
      <c r="M13" s="2"/>
      <c r="N13" s="19">
        <f t="shared" si="1"/>
        <v>-0.4038013378564867</v>
      </c>
      <c r="O13" s="11"/>
      <c r="P13" s="2">
        <f>--2389281.9</f>
        <v>2389281.9</v>
      </c>
      <c r="Q13" s="2"/>
      <c r="R13" s="19"/>
      <c r="S13" s="2"/>
      <c r="T13" s="2">
        <v>4685465</v>
      </c>
      <c r="U13" s="2"/>
      <c r="V13" s="19"/>
      <c r="W13" s="2"/>
      <c r="X13" s="2">
        <f t="shared" si="2"/>
        <v>-2296183.1</v>
      </c>
      <c r="Y13" s="2"/>
      <c r="Z13" s="19">
        <f t="shared" si="3"/>
        <v>-0.49006514828304132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--200794.66</f>
        <v>200794.66</v>
      </c>
      <c r="E14" s="2"/>
      <c r="F14" s="19"/>
      <c r="G14" s="2"/>
      <c r="H14" s="2">
        <v>53076</v>
      </c>
      <c r="I14" s="2"/>
      <c r="J14" s="19"/>
      <c r="K14" s="2"/>
      <c r="L14" s="2">
        <f t="shared" si="0"/>
        <v>147718.66</v>
      </c>
      <c r="M14" s="2"/>
      <c r="N14" s="19">
        <f t="shared" si="1"/>
        <v>2.7831535910769465</v>
      </c>
      <c r="O14" s="11"/>
      <c r="P14" s="2">
        <f>--683472.9</f>
        <v>683472.9</v>
      </c>
      <c r="Q14" s="2"/>
      <c r="R14" s="19"/>
      <c r="S14" s="2"/>
      <c r="T14" s="2">
        <v>98764</v>
      </c>
      <c r="U14" s="2"/>
      <c r="V14" s="19"/>
      <c r="W14" s="2"/>
      <c r="X14" s="2">
        <f t="shared" si="2"/>
        <v>584708.9</v>
      </c>
      <c r="Y14" s="2"/>
      <c r="Z14" s="19">
        <f t="shared" si="3"/>
        <v>5.9202634563201171</v>
      </c>
    </row>
    <row r="15" spans="1:26" s="24" customFormat="1" hidden="1" outlineLevel="1" x14ac:dyDescent="0.25">
      <c r="A15" s="44"/>
      <c r="B15" s="11" t="str">
        <f>CONCATENATE("          ", "4141", " - ", "NON-TAXABLE SALES-LOGO GIFTS")</f>
        <v xml:space="preserve">          4141 - NON-TAXABLE SALES-LOGO GIFTS</v>
      </c>
      <c r="C15" s="11"/>
      <c r="D15" s="2">
        <f>--71.05</f>
        <v>71.05</v>
      </c>
      <c r="E15" s="2"/>
      <c r="F15" s="19"/>
      <c r="G15" s="2"/>
      <c r="H15" s="2"/>
      <c r="I15" s="2"/>
      <c r="J15" s="19"/>
      <c r="K15" s="2"/>
      <c r="L15" s="2">
        <f t="shared" si="0"/>
        <v>71.05</v>
      </c>
      <c r="M15" s="2"/>
      <c r="N15" s="19">
        <f t="shared" si="1"/>
        <v>0</v>
      </c>
      <c r="O15" s="11"/>
      <c r="P15" s="2">
        <f>--460.55</f>
        <v>460.55</v>
      </c>
      <c r="Q15" s="2"/>
      <c r="R15" s="19"/>
      <c r="S15" s="2"/>
      <c r="T15" s="2"/>
      <c r="U15" s="2"/>
      <c r="V15" s="19"/>
      <c r="W15" s="2"/>
      <c r="X15" s="2">
        <f t="shared" si="2"/>
        <v>460.55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"4146", " - ", "NON-TAXABLE SALES-COIN OP MACH")</f>
        <v xml:space="preserve">          4146 - NON-TAXABLE SALES-COIN OP MACH</v>
      </c>
      <c r="C16" s="11"/>
      <c r="D16" s="2">
        <f>--4759.35</f>
        <v>4759.3500000000004</v>
      </c>
      <c r="E16" s="2"/>
      <c r="F16" s="19"/>
      <c r="G16" s="2"/>
      <c r="H16" s="2"/>
      <c r="I16" s="2"/>
      <c r="J16" s="19"/>
      <c r="K16" s="2"/>
      <c r="L16" s="2">
        <f t="shared" si="0"/>
        <v>4759.3500000000004</v>
      </c>
      <c r="M16" s="2"/>
      <c r="N16" s="19">
        <f t="shared" si="1"/>
        <v>0</v>
      </c>
      <c r="O16" s="11"/>
      <c r="P16" s="2">
        <f>--7492.95</f>
        <v>7492.95</v>
      </c>
      <c r="Q16" s="2"/>
      <c r="R16" s="19"/>
      <c r="S16" s="2"/>
      <c r="T16" s="2"/>
      <c r="U16" s="2"/>
      <c r="V16" s="19"/>
      <c r="W16" s="2"/>
      <c r="X16" s="2">
        <f t="shared" si="2"/>
        <v>7492.95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"4200", " - ", "TAXABLE RETURNS")</f>
        <v xml:space="preserve">          4200 - TAXABLE RETURNS</v>
      </c>
      <c r="C17" s="11"/>
      <c r="D17" s="2">
        <f>-43203.32</f>
        <v>-43203.32</v>
      </c>
      <c r="E17" s="2"/>
      <c r="F17" s="19"/>
      <c r="G17" s="2"/>
      <c r="H17" s="2"/>
      <c r="I17" s="2"/>
      <c r="J17" s="19"/>
      <c r="K17" s="2"/>
      <c r="L17" s="2">
        <f t="shared" si="0"/>
        <v>-43203.32</v>
      </c>
      <c r="M17" s="2"/>
      <c r="N17" s="19">
        <f t="shared" si="1"/>
        <v>0</v>
      </c>
      <c r="O17" s="11"/>
      <c r="P17" s="2">
        <f>-128627.07</f>
        <v>-128627.07</v>
      </c>
      <c r="Q17" s="2"/>
      <c r="R17" s="19"/>
      <c r="S17" s="2"/>
      <c r="T17" s="2"/>
      <c r="U17" s="2"/>
      <c r="V17" s="19"/>
      <c r="W17" s="2"/>
      <c r="X17" s="2">
        <f t="shared" si="2"/>
        <v>-128627.07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"4300", " - ", "NON-TAX RETURNS")</f>
        <v xml:space="preserve">          4300 - NON-TAX RETURNS</v>
      </c>
      <c r="C18" s="11"/>
      <c r="D18" s="2">
        <f>-2758.55</f>
        <v>-2758.55</v>
      </c>
      <c r="E18" s="2"/>
      <c r="F18" s="19"/>
      <c r="G18" s="2"/>
      <c r="H18" s="2"/>
      <c r="I18" s="2"/>
      <c r="J18" s="19"/>
      <c r="K18" s="2"/>
      <c r="L18" s="2">
        <f t="shared" si="0"/>
        <v>-2758.55</v>
      </c>
      <c r="M18" s="2"/>
      <c r="N18" s="19">
        <f t="shared" si="1"/>
        <v>0</v>
      </c>
      <c r="O18" s="11"/>
      <c r="P18" s="2">
        <f>-20796.04</f>
        <v>-20796.04</v>
      </c>
      <c r="Q18" s="2"/>
      <c r="R18" s="19"/>
      <c r="S18" s="2"/>
      <c r="T18" s="2"/>
      <c r="U18" s="2"/>
      <c r="V18" s="19"/>
      <c r="W18" s="2"/>
      <c r="X18" s="2">
        <f t="shared" si="2"/>
        <v>-20796.04</v>
      </c>
      <c r="Y18" s="2"/>
      <c r="Z18" s="19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6" t="s">
        <v>257</v>
      </c>
      <c r="C20" s="10"/>
      <c r="D20" s="4">
        <f>SUM(OSRRefD16x_0)</f>
        <v>502570.24000000005</v>
      </c>
      <c r="E20" s="4"/>
      <c r="F20" s="12">
        <f t="shared" ref="F20:F53" si="4">IF(D$12=0,0,D20/D$12)</f>
        <v>0.66187523676841153</v>
      </c>
      <c r="G20" s="4"/>
      <c r="H20" s="4">
        <f>SUM(OSRRefH16x_0)</f>
        <v>717196</v>
      </c>
      <c r="I20" s="4"/>
      <c r="J20" s="12">
        <f t="shared" ref="J20:J53" si="5">IF(H$12=0,0,H20/H$12)</f>
        <v>0.6773258888771363</v>
      </c>
      <c r="K20" s="4"/>
      <c r="L20" s="4">
        <f t="shared" ref="L20:L53" si="6">+D20-H20</f>
        <v>-214625.75999999995</v>
      </c>
      <c r="M20" s="4"/>
      <c r="N20" s="12">
        <f t="shared" ref="N20:N53" si="7">IF(H20=0,0,L20/H20)</f>
        <v>-0.29925677220731844</v>
      </c>
      <c r="O20" s="10"/>
      <c r="P20" s="4">
        <f>SUM(OSRRefP16x_0)</f>
        <v>1996494.2499999998</v>
      </c>
      <c r="Q20" s="4"/>
      <c r="R20" s="12">
        <f t="shared" ref="R20:R53" si="8">IF(P$12=0,0,P20/P$12)</f>
        <v>0.68109860371518471</v>
      </c>
      <c r="S20" s="4"/>
      <c r="T20" s="4">
        <f>SUM(OSRRefT16x_0)</f>
        <v>3361646</v>
      </c>
      <c r="U20" s="4"/>
      <c r="V20" s="12">
        <f t="shared" ref="V20:V53" si="9">IF(T$12=0,0,T20/T$12)</f>
        <v>0.70265156621892477</v>
      </c>
      <c r="W20" s="4"/>
      <c r="X20" s="4">
        <f t="shared" ref="X20:X53" si="10">+P20-T20</f>
        <v>-1365151.7500000002</v>
      </c>
      <c r="Y20" s="4"/>
      <c r="Z20" s="12">
        <f t="shared" ref="Z20:Z53" si="11">IF(T20=0,0,X20/T20)</f>
        <v>-0.40609622488507124</v>
      </c>
    </row>
    <row r="21" spans="1:26" s="24" customFormat="1" hidden="1" outlineLevel="1" x14ac:dyDescent="0.25">
      <c r="A21" s="44"/>
      <c r="B21" s="11" t="str">
        <f>CONCATENATE("          ", "5000", " - ", "PURCHASES @ COST")</f>
        <v xml:space="preserve">          5000 - PURCHASES @ COST</v>
      </c>
      <c r="C21" s="11"/>
      <c r="D21" s="2">
        <v>895370.31</v>
      </c>
      <c r="E21" s="2"/>
      <c r="F21" s="19">
        <f t="shared" si="4"/>
        <v>1.1791852934361096</v>
      </c>
      <c r="G21" s="2"/>
      <c r="H21" s="2">
        <v>717196</v>
      </c>
      <c r="I21" s="2"/>
      <c r="J21" s="19">
        <f t="shared" si="5"/>
        <v>0.6773258888771363</v>
      </c>
      <c r="K21" s="2"/>
      <c r="L21" s="2">
        <f t="shared" si="6"/>
        <v>178174.31000000006</v>
      </c>
      <c r="M21" s="2"/>
      <c r="N21" s="19">
        <f t="shared" si="7"/>
        <v>0.24843182337882538</v>
      </c>
      <c r="O21" s="11"/>
      <c r="P21" s="2">
        <v>2123460.8199999998</v>
      </c>
      <c r="Q21" s="2"/>
      <c r="R21" s="19">
        <f t="shared" si="8"/>
        <v>0.72441290504387934</v>
      </c>
      <c r="S21" s="2"/>
      <c r="T21" s="2">
        <v>3361646</v>
      </c>
      <c r="U21" s="2"/>
      <c r="V21" s="19">
        <f t="shared" si="9"/>
        <v>0.70265156621892477</v>
      </c>
      <c r="W21" s="2"/>
      <c r="X21" s="2">
        <f t="shared" si="10"/>
        <v>-1238185.1800000002</v>
      </c>
      <c r="Y21" s="2"/>
      <c r="Z21" s="19">
        <f t="shared" si="11"/>
        <v>-0.3683270576378358</v>
      </c>
    </row>
    <row r="22" spans="1:26" s="24" customFormat="1" hidden="1" outlineLevel="1" x14ac:dyDescent="0.25">
      <c r="A22" s="44"/>
      <c r="B22" s="11" t="str">
        <f>CONCATENATE("          ", "5001", " - ", "PURCHASES @ COST-NEW TEXT")</f>
        <v xml:space="preserve">          5001 - PURCHASES @ COST-NEW TEXT</v>
      </c>
      <c r="C22" s="11"/>
      <c r="D22" s="2">
        <v>0</v>
      </c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"5002", " - ", "PURCHASES @ COST-USED TEXT")</f>
        <v xml:space="preserve">          5002 - PURCHASES @ COST-USED TEXT</v>
      </c>
      <c r="C23" s="11"/>
      <c r="D23" s="2">
        <v>0</v>
      </c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25">
      <c r="A24" s="44"/>
      <c r="B24" s="11" t="str">
        <f>CONCATENATE("          ", "5004", " - ", "PURCHASES @ COST-DIGITAL TEXT")</f>
        <v xml:space="preserve">          5004 - PURCHASES @ COST-DIGITAL TEXT</v>
      </c>
      <c r="C24" s="11"/>
      <c r="D24" s="2">
        <v>0</v>
      </c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25">
      <c r="A25" s="44"/>
      <c r="B25" s="11" t="str">
        <f>CONCATENATE("          ", "5026", " - ", "PURCHASES @ COST-WRITING INSTR")</f>
        <v xml:space="preserve">          5026 - PURCHASES @ COST-WRITING INSTR</v>
      </c>
      <c r="C25" s="11"/>
      <c r="D25" s="2"/>
      <c r="E25" s="2"/>
      <c r="F25" s="19">
        <f t="shared" si="4"/>
        <v>0</v>
      </c>
      <c r="G25" s="2"/>
      <c r="H25" s="2"/>
      <c r="I25" s="2"/>
      <c r="J25" s="19">
        <f t="shared" si="5"/>
        <v>0</v>
      </c>
      <c r="K25" s="2"/>
      <c r="L25" s="2">
        <f t="shared" si="6"/>
        <v>0</v>
      </c>
      <c r="M25" s="2"/>
      <c r="N25" s="19">
        <f t="shared" si="7"/>
        <v>0</v>
      </c>
      <c r="O25" s="11"/>
      <c r="P25" s="2">
        <v>0</v>
      </c>
      <c r="Q25" s="2"/>
      <c r="R25" s="19">
        <f t="shared" si="8"/>
        <v>0</v>
      </c>
      <c r="S25" s="2"/>
      <c r="T25" s="2"/>
      <c r="U25" s="2"/>
      <c r="V25" s="19">
        <f t="shared" si="9"/>
        <v>0</v>
      </c>
      <c r="W25" s="2"/>
      <c r="X25" s="2">
        <f t="shared" si="10"/>
        <v>0</v>
      </c>
      <c r="Y25" s="2"/>
      <c r="Z25" s="19">
        <f t="shared" si="11"/>
        <v>0</v>
      </c>
    </row>
    <row r="26" spans="1:26" s="24" customFormat="1" hidden="1" outlineLevel="1" x14ac:dyDescent="0.25">
      <c r="A26" s="44"/>
      <c r="B26" s="11" t="str">
        <f>CONCATENATE("          ", "5027", " - ", "PURCHASES @ COST-SCHOOL SUPPLI")</f>
        <v xml:space="preserve">          5027 - PURCHASES @ COST-SCHOOL SUPPLI</v>
      </c>
      <c r="C26" s="11"/>
      <c r="D26" s="2">
        <v>0</v>
      </c>
      <c r="E26" s="2"/>
      <c r="F26" s="19">
        <f t="shared" si="4"/>
        <v>0</v>
      </c>
      <c r="G26" s="2"/>
      <c r="H26" s="2"/>
      <c r="I26" s="2"/>
      <c r="J26" s="19">
        <f t="shared" si="5"/>
        <v>0</v>
      </c>
      <c r="K26" s="2"/>
      <c r="L26" s="2">
        <f t="shared" si="6"/>
        <v>0</v>
      </c>
      <c r="M26" s="2"/>
      <c r="N26" s="19">
        <f t="shared" si="7"/>
        <v>0</v>
      </c>
      <c r="O26" s="11"/>
      <c r="P26" s="2">
        <v>0</v>
      </c>
      <c r="Q26" s="2"/>
      <c r="R26" s="19">
        <f t="shared" si="8"/>
        <v>0</v>
      </c>
      <c r="S26" s="2"/>
      <c r="T26" s="2"/>
      <c r="U26" s="2"/>
      <c r="V26" s="19">
        <f t="shared" si="9"/>
        <v>0</v>
      </c>
      <c r="W26" s="2"/>
      <c r="X26" s="2">
        <f t="shared" si="10"/>
        <v>0</v>
      </c>
      <c r="Y26" s="2"/>
      <c r="Z26" s="19">
        <f t="shared" si="11"/>
        <v>0</v>
      </c>
    </row>
    <row r="27" spans="1:26" s="24" customFormat="1" hidden="1" outlineLevel="1" x14ac:dyDescent="0.25">
      <c r="A27" s="44"/>
      <c r="B27" s="11" t="str">
        <f>CONCATENATE("          ", "5028", " - ", "PURCHASES @ COST-ART/TECH")</f>
        <v xml:space="preserve">          5028 - PURCHASES @ COST-ART/TECH</v>
      </c>
      <c r="C27" s="11"/>
      <c r="D27" s="2">
        <v>0</v>
      </c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25">
      <c r="A28" s="44"/>
      <c r="B28" s="11" t="str">
        <f>CONCATENATE("          ", "5031", " - ", "PURCHASES @ COST-FOOD")</f>
        <v xml:space="preserve">          5031 - PURCHASES @ COST-FOOD</v>
      </c>
      <c r="C28" s="11"/>
      <c r="D28" s="2">
        <v>0</v>
      </c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25">
      <c r="A29" s="44"/>
      <c r="B29" s="11" t="str">
        <f>CONCATENATE("          ", "5040", " - ", "PURCHASES @ COST-LOGO CLOTHING")</f>
        <v xml:space="preserve">          5040 - PURCHASES @ COST-LOGO CLOTHING</v>
      </c>
      <c r="C29" s="11"/>
      <c r="D29" s="2">
        <v>0</v>
      </c>
      <c r="E29" s="2"/>
      <c r="F29" s="19">
        <f t="shared" si="4"/>
        <v>0</v>
      </c>
      <c r="G29" s="2"/>
      <c r="H29" s="2"/>
      <c r="I29" s="2"/>
      <c r="J29" s="19">
        <f t="shared" si="5"/>
        <v>0</v>
      </c>
      <c r="K29" s="2"/>
      <c r="L29" s="2">
        <f t="shared" si="6"/>
        <v>0</v>
      </c>
      <c r="M29" s="2"/>
      <c r="N29" s="19">
        <f t="shared" si="7"/>
        <v>0</v>
      </c>
      <c r="O29" s="11"/>
      <c r="P29" s="2">
        <v>0</v>
      </c>
      <c r="Q29" s="2"/>
      <c r="R29" s="19">
        <f t="shared" si="8"/>
        <v>0</v>
      </c>
      <c r="S29" s="2"/>
      <c r="T29" s="2"/>
      <c r="U29" s="2"/>
      <c r="V29" s="19">
        <f t="shared" si="9"/>
        <v>0</v>
      </c>
      <c r="W29" s="2"/>
      <c r="X29" s="2">
        <f t="shared" si="10"/>
        <v>0</v>
      </c>
      <c r="Y29" s="2"/>
      <c r="Z29" s="19">
        <f t="shared" si="11"/>
        <v>0</v>
      </c>
    </row>
    <row r="30" spans="1:26" s="24" customFormat="1" hidden="1" outlineLevel="1" x14ac:dyDescent="0.25">
      <c r="A30" s="44"/>
      <c r="B30" s="11" t="str">
        <f>CONCATENATE("          ", "5041", " - ", "PURCHASES @ COST-LOGO GIFTS")</f>
        <v xml:space="preserve">          5041 - PURCHASES @ COST-LOGO GIFTS</v>
      </c>
      <c r="C30" s="11"/>
      <c r="D30" s="2">
        <v>0</v>
      </c>
      <c r="E30" s="2"/>
      <c r="F30" s="19">
        <f t="shared" si="4"/>
        <v>0</v>
      </c>
      <c r="G30" s="2"/>
      <c r="H30" s="2"/>
      <c r="I30" s="2"/>
      <c r="J30" s="19">
        <f t="shared" si="5"/>
        <v>0</v>
      </c>
      <c r="K30" s="2"/>
      <c r="L30" s="2">
        <f t="shared" si="6"/>
        <v>0</v>
      </c>
      <c r="M30" s="2"/>
      <c r="N30" s="19">
        <f t="shared" si="7"/>
        <v>0</v>
      </c>
      <c r="O30" s="11"/>
      <c r="P30" s="2">
        <v>0</v>
      </c>
      <c r="Q30" s="2"/>
      <c r="R30" s="19">
        <f t="shared" si="8"/>
        <v>0</v>
      </c>
      <c r="S30" s="2"/>
      <c r="T30" s="2"/>
      <c r="U30" s="2"/>
      <c r="V30" s="19">
        <f t="shared" si="9"/>
        <v>0</v>
      </c>
      <c r="W30" s="2"/>
      <c r="X30" s="2">
        <f t="shared" si="10"/>
        <v>0</v>
      </c>
      <c r="Y30" s="2"/>
      <c r="Z30" s="19">
        <f t="shared" si="11"/>
        <v>0</v>
      </c>
    </row>
    <row r="31" spans="1:26" s="24" customFormat="1" hidden="1" outlineLevel="1" x14ac:dyDescent="0.25">
      <c r="A31" s="44"/>
      <c r="B31" s="11" t="str">
        <f>CONCATENATE("          ", "5042", " - ", "PURCHASES @ COST-EVERYDAY GIFT")</f>
        <v xml:space="preserve">          5042 - PURCHASES @ COST-EVERYDAY GIFT</v>
      </c>
      <c r="C31" s="11"/>
      <c r="D31" s="2"/>
      <c r="E31" s="2"/>
      <c r="F31" s="19">
        <f t="shared" si="4"/>
        <v>0</v>
      </c>
      <c r="G31" s="2"/>
      <c r="H31" s="2"/>
      <c r="I31" s="2"/>
      <c r="J31" s="19">
        <f t="shared" si="5"/>
        <v>0</v>
      </c>
      <c r="K31" s="2"/>
      <c r="L31" s="2">
        <f t="shared" si="6"/>
        <v>0</v>
      </c>
      <c r="M31" s="2"/>
      <c r="N31" s="19">
        <f t="shared" si="7"/>
        <v>0</v>
      </c>
      <c r="O31" s="11"/>
      <c r="P31" s="2">
        <v>0</v>
      </c>
      <c r="Q31" s="2"/>
      <c r="R31" s="19">
        <f t="shared" si="8"/>
        <v>0</v>
      </c>
      <c r="S31" s="2"/>
      <c r="T31" s="2"/>
      <c r="U31" s="2"/>
      <c r="V31" s="19">
        <f t="shared" si="9"/>
        <v>0</v>
      </c>
      <c r="W31" s="2"/>
      <c r="X31" s="2">
        <f t="shared" si="10"/>
        <v>0</v>
      </c>
      <c r="Y31" s="2"/>
      <c r="Z31" s="19">
        <f t="shared" si="11"/>
        <v>0</v>
      </c>
    </row>
    <row r="32" spans="1:26" s="24" customFormat="1" hidden="1" outlineLevel="1" x14ac:dyDescent="0.25">
      <c r="A32" s="44"/>
      <c r="B32" s="11" t="str">
        <f>CONCATENATE("          ", "5043", " - ", "PURCHASES @ COST-CARDS")</f>
        <v xml:space="preserve">          5043 - PURCHASES @ COST-CARDS</v>
      </c>
      <c r="C32" s="11"/>
      <c r="D32" s="2"/>
      <c r="E32" s="2"/>
      <c r="F32" s="19">
        <f t="shared" si="4"/>
        <v>0</v>
      </c>
      <c r="G32" s="2"/>
      <c r="H32" s="2"/>
      <c r="I32" s="2"/>
      <c r="J32" s="19">
        <f t="shared" si="5"/>
        <v>0</v>
      </c>
      <c r="K32" s="2"/>
      <c r="L32" s="2">
        <f t="shared" si="6"/>
        <v>0</v>
      </c>
      <c r="M32" s="2"/>
      <c r="N32" s="19">
        <f t="shared" si="7"/>
        <v>0</v>
      </c>
      <c r="O32" s="11"/>
      <c r="P32" s="2">
        <v>0</v>
      </c>
      <c r="Q32" s="2"/>
      <c r="R32" s="19">
        <f t="shared" si="8"/>
        <v>0</v>
      </c>
      <c r="S32" s="2"/>
      <c r="T32" s="2"/>
      <c r="U32" s="2"/>
      <c r="V32" s="19">
        <f t="shared" si="9"/>
        <v>0</v>
      </c>
      <c r="W32" s="2"/>
      <c r="X32" s="2">
        <f t="shared" si="10"/>
        <v>0</v>
      </c>
      <c r="Y32" s="2"/>
      <c r="Z32" s="19">
        <f t="shared" si="11"/>
        <v>0</v>
      </c>
    </row>
    <row r="33" spans="1:26" s="24" customFormat="1" hidden="1" outlineLevel="1" x14ac:dyDescent="0.25">
      <c r="A33" s="44"/>
      <c r="B33" s="11" t="str">
        <f>CONCATENATE("          ", "5044", " - ", "PURCHASES @ COST-ACCESSORIES")</f>
        <v xml:space="preserve">          5044 - PURCHASES @ COST-ACCESSORIES</v>
      </c>
      <c r="C33" s="11"/>
      <c r="D33" s="2"/>
      <c r="E33" s="2"/>
      <c r="F33" s="19">
        <f t="shared" si="4"/>
        <v>0</v>
      </c>
      <c r="G33" s="2"/>
      <c r="H33" s="2"/>
      <c r="I33" s="2"/>
      <c r="J33" s="19">
        <f t="shared" si="5"/>
        <v>0</v>
      </c>
      <c r="K33" s="2"/>
      <c r="L33" s="2">
        <f t="shared" si="6"/>
        <v>0</v>
      </c>
      <c r="M33" s="2"/>
      <c r="N33" s="19">
        <f t="shared" si="7"/>
        <v>0</v>
      </c>
      <c r="O33" s="11"/>
      <c r="P33" s="2">
        <v>0</v>
      </c>
      <c r="Q33" s="2"/>
      <c r="R33" s="19">
        <f t="shared" si="8"/>
        <v>0</v>
      </c>
      <c r="S33" s="2"/>
      <c r="T33" s="2"/>
      <c r="U33" s="2"/>
      <c r="V33" s="19">
        <f t="shared" si="9"/>
        <v>0</v>
      </c>
      <c r="W33" s="2"/>
      <c r="X33" s="2">
        <f t="shared" si="10"/>
        <v>0</v>
      </c>
      <c r="Y33" s="2"/>
      <c r="Z33" s="19">
        <f t="shared" si="11"/>
        <v>0</v>
      </c>
    </row>
    <row r="34" spans="1:26" s="24" customFormat="1" hidden="1" outlineLevel="1" x14ac:dyDescent="0.25">
      <c r="A34" s="44"/>
      <c r="B34" s="11" t="str">
        <f>CONCATENATE("          ", "5045", " - ", "PURCHASES @ COST-SPECIAL ORDER")</f>
        <v xml:space="preserve">          5045 - PURCHASES @ COST-SPECIAL ORDER</v>
      </c>
      <c r="C34" s="11"/>
      <c r="D34" s="2">
        <v>0</v>
      </c>
      <c r="E34" s="2"/>
      <c r="F34" s="19">
        <f t="shared" si="4"/>
        <v>0</v>
      </c>
      <c r="G34" s="2"/>
      <c r="H34" s="2"/>
      <c r="I34" s="2"/>
      <c r="J34" s="19">
        <f t="shared" si="5"/>
        <v>0</v>
      </c>
      <c r="K34" s="2"/>
      <c r="L34" s="2">
        <f t="shared" si="6"/>
        <v>0</v>
      </c>
      <c r="M34" s="2"/>
      <c r="N34" s="19">
        <f t="shared" si="7"/>
        <v>0</v>
      </c>
      <c r="O34" s="11"/>
      <c r="P34" s="2">
        <v>0</v>
      </c>
      <c r="Q34" s="2"/>
      <c r="R34" s="19">
        <f t="shared" si="8"/>
        <v>0</v>
      </c>
      <c r="S34" s="2"/>
      <c r="T34" s="2"/>
      <c r="U34" s="2"/>
      <c r="V34" s="19">
        <f t="shared" si="9"/>
        <v>0</v>
      </c>
      <c r="W34" s="2"/>
      <c r="X34" s="2">
        <f t="shared" si="10"/>
        <v>0</v>
      </c>
      <c r="Y34" s="2"/>
      <c r="Z34" s="19">
        <f t="shared" si="11"/>
        <v>0</v>
      </c>
    </row>
    <row r="35" spans="1:26" s="24" customFormat="1" hidden="1" outlineLevel="1" x14ac:dyDescent="0.25">
      <c r="A35" s="44"/>
      <c r="B35" s="11" t="str">
        <f>CONCATENATE("          ", "5081", " - ", "PURCHASES @ COST-ELECTRONICS")</f>
        <v xml:space="preserve">          5081 - PURCHASES @ COST-ELECTRONICS</v>
      </c>
      <c r="C35" s="11"/>
      <c r="D35" s="2">
        <v>0</v>
      </c>
      <c r="E35" s="2"/>
      <c r="F35" s="19">
        <f t="shared" si="4"/>
        <v>0</v>
      </c>
      <c r="G35" s="2"/>
      <c r="H35" s="2"/>
      <c r="I35" s="2"/>
      <c r="J35" s="19">
        <f t="shared" si="5"/>
        <v>0</v>
      </c>
      <c r="K35" s="2"/>
      <c r="L35" s="2">
        <f t="shared" si="6"/>
        <v>0</v>
      </c>
      <c r="M35" s="2"/>
      <c r="N35" s="19">
        <f t="shared" si="7"/>
        <v>0</v>
      </c>
      <c r="O35" s="11"/>
      <c r="P35" s="2">
        <v>0</v>
      </c>
      <c r="Q35" s="2"/>
      <c r="R35" s="19">
        <f t="shared" si="8"/>
        <v>0</v>
      </c>
      <c r="S35" s="2"/>
      <c r="T35" s="2"/>
      <c r="U35" s="2"/>
      <c r="V35" s="19">
        <f t="shared" si="9"/>
        <v>0</v>
      </c>
      <c r="W35" s="2"/>
      <c r="X35" s="2">
        <f t="shared" si="10"/>
        <v>0</v>
      </c>
      <c r="Y35" s="2"/>
      <c r="Z35" s="19">
        <f t="shared" si="11"/>
        <v>0</v>
      </c>
    </row>
    <row r="36" spans="1:26" s="24" customFormat="1" hidden="1" outlineLevel="1" x14ac:dyDescent="0.25">
      <c r="A36" s="44"/>
      <c r="B36" s="11" t="str">
        <f>CONCATENATE("          ", "5082", " - ", "PURCHASES @ COST-COMPUTER HARD")</f>
        <v xml:space="preserve">          5082 - PURCHASES @ COST-COMPUTER HARD</v>
      </c>
      <c r="C36" s="11"/>
      <c r="D36" s="2">
        <v>-22380.03</v>
      </c>
      <c r="E36" s="2"/>
      <c r="F36" s="19">
        <f t="shared" si="4"/>
        <v>-2.9474064471334698E-2</v>
      </c>
      <c r="G36" s="2"/>
      <c r="H36" s="2"/>
      <c r="I36" s="2"/>
      <c r="J36" s="19">
        <f t="shared" si="5"/>
        <v>0</v>
      </c>
      <c r="K36" s="2"/>
      <c r="L36" s="2">
        <f t="shared" si="6"/>
        <v>-22380.03</v>
      </c>
      <c r="M36" s="2"/>
      <c r="N36" s="19">
        <f t="shared" si="7"/>
        <v>0</v>
      </c>
      <c r="O36" s="11"/>
      <c r="P36" s="2">
        <v>-56783.85</v>
      </c>
      <c r="Q36" s="2"/>
      <c r="R36" s="19">
        <f t="shared" si="8"/>
        <v>-1.9371656566790761E-2</v>
      </c>
      <c r="S36" s="2"/>
      <c r="T36" s="2"/>
      <c r="U36" s="2"/>
      <c r="V36" s="19">
        <f t="shared" si="9"/>
        <v>0</v>
      </c>
      <c r="W36" s="2"/>
      <c r="X36" s="2">
        <f t="shared" si="10"/>
        <v>-56783.85</v>
      </c>
      <c r="Y36" s="2"/>
      <c r="Z36" s="19">
        <f t="shared" si="11"/>
        <v>0</v>
      </c>
    </row>
    <row r="37" spans="1:26" s="24" customFormat="1" hidden="1" outlineLevel="1" x14ac:dyDescent="0.25">
      <c r="A37" s="44"/>
      <c r="B37" s="11" t="str">
        <f>CONCATENATE("          ", "5083", " - ", "PURCHASES @ COST-COMPUTER EQUI")</f>
        <v xml:space="preserve">          5083 - PURCHASES @ COST-COMPUTER EQUI</v>
      </c>
      <c r="C37" s="11"/>
      <c r="D37" s="2">
        <v>0</v>
      </c>
      <c r="E37" s="2"/>
      <c r="F37" s="19">
        <f t="shared" si="4"/>
        <v>0</v>
      </c>
      <c r="G37" s="2"/>
      <c r="H37" s="2"/>
      <c r="I37" s="2"/>
      <c r="J37" s="19">
        <f t="shared" si="5"/>
        <v>0</v>
      </c>
      <c r="K37" s="2"/>
      <c r="L37" s="2">
        <f t="shared" si="6"/>
        <v>0</v>
      </c>
      <c r="M37" s="2"/>
      <c r="N37" s="19">
        <f t="shared" si="7"/>
        <v>0</v>
      </c>
      <c r="O37" s="11"/>
      <c r="P37" s="2">
        <v>0</v>
      </c>
      <c r="Q37" s="2"/>
      <c r="R37" s="19">
        <f t="shared" si="8"/>
        <v>0</v>
      </c>
      <c r="S37" s="2"/>
      <c r="T37" s="2"/>
      <c r="U37" s="2"/>
      <c r="V37" s="19">
        <f t="shared" si="9"/>
        <v>0</v>
      </c>
      <c r="W37" s="2"/>
      <c r="X37" s="2">
        <f t="shared" si="10"/>
        <v>0</v>
      </c>
      <c r="Y37" s="2"/>
      <c r="Z37" s="19">
        <f t="shared" si="11"/>
        <v>0</v>
      </c>
    </row>
    <row r="38" spans="1:26" s="24" customFormat="1" hidden="1" outlineLevel="1" x14ac:dyDescent="0.25">
      <c r="A38" s="44"/>
      <c r="B38" s="11" t="str">
        <f>CONCATENATE("          ", "5085", " - ", "PURCHASES @ COST-SOFTWARE")</f>
        <v xml:space="preserve">          5085 - PURCHASES @ COST-SOFTWARE</v>
      </c>
      <c r="C38" s="11"/>
      <c r="D38" s="2">
        <v>0</v>
      </c>
      <c r="E38" s="2"/>
      <c r="F38" s="19">
        <f t="shared" si="4"/>
        <v>0</v>
      </c>
      <c r="G38" s="2"/>
      <c r="H38" s="2"/>
      <c r="I38" s="2"/>
      <c r="J38" s="19">
        <f t="shared" si="5"/>
        <v>0</v>
      </c>
      <c r="K38" s="2"/>
      <c r="L38" s="2">
        <f t="shared" si="6"/>
        <v>0</v>
      </c>
      <c r="M38" s="2"/>
      <c r="N38" s="19">
        <f t="shared" si="7"/>
        <v>0</v>
      </c>
      <c r="O38" s="11"/>
      <c r="P38" s="2">
        <v>0</v>
      </c>
      <c r="Q38" s="2"/>
      <c r="R38" s="19">
        <f t="shared" si="8"/>
        <v>0</v>
      </c>
      <c r="S38" s="2"/>
      <c r="T38" s="2"/>
      <c r="U38" s="2"/>
      <c r="V38" s="19">
        <f t="shared" si="9"/>
        <v>0</v>
      </c>
      <c r="W38" s="2"/>
      <c r="X38" s="2">
        <f t="shared" si="10"/>
        <v>0</v>
      </c>
      <c r="Y38" s="2"/>
      <c r="Z38" s="19">
        <f t="shared" si="11"/>
        <v>0</v>
      </c>
    </row>
    <row r="39" spans="1:26" s="24" customFormat="1" hidden="1" outlineLevel="1" x14ac:dyDescent="0.25">
      <c r="A39" s="44"/>
      <c r="B39" s="11" t="str">
        <f>CONCATENATE("          ", "5086", " - ", "PURCHASES @ COST-COMPUTER SUPP")</f>
        <v xml:space="preserve">          5086 - PURCHASES @ COST-COMPUTER SUPP</v>
      </c>
      <c r="C39" s="11"/>
      <c r="D39" s="2">
        <v>0</v>
      </c>
      <c r="E39" s="2"/>
      <c r="F39" s="19">
        <f t="shared" si="4"/>
        <v>0</v>
      </c>
      <c r="G39" s="2"/>
      <c r="H39" s="2"/>
      <c r="I39" s="2"/>
      <c r="J39" s="19">
        <f t="shared" si="5"/>
        <v>0</v>
      </c>
      <c r="K39" s="2"/>
      <c r="L39" s="2">
        <f t="shared" si="6"/>
        <v>0</v>
      </c>
      <c r="M39" s="2"/>
      <c r="N39" s="19">
        <f t="shared" si="7"/>
        <v>0</v>
      </c>
      <c r="O39" s="11"/>
      <c r="P39" s="2">
        <v>0</v>
      </c>
      <c r="Q39" s="2"/>
      <c r="R39" s="19">
        <f t="shared" si="8"/>
        <v>0</v>
      </c>
      <c r="S39" s="2"/>
      <c r="T39" s="2"/>
      <c r="U39" s="2"/>
      <c r="V39" s="19">
        <f t="shared" si="9"/>
        <v>0</v>
      </c>
      <c r="W39" s="2"/>
      <c r="X39" s="2">
        <f t="shared" si="10"/>
        <v>0</v>
      </c>
      <c r="Y39" s="2"/>
      <c r="Z39" s="19">
        <f t="shared" si="11"/>
        <v>0</v>
      </c>
    </row>
    <row r="40" spans="1:26" s="24" customFormat="1" hidden="1" outlineLevel="1" x14ac:dyDescent="0.25">
      <c r="A40" s="44"/>
      <c r="B40" s="11" t="str">
        <f>CONCATENATE("          ", "5200", " - ", "PURCHASES OFFSET")</f>
        <v xml:space="preserve">          5200 - PURCHASES OFFSET</v>
      </c>
      <c r="C40" s="11"/>
      <c r="D40" s="2">
        <v>-866523.34</v>
      </c>
      <c r="E40" s="2"/>
      <c r="F40" s="19">
        <f t="shared" si="4"/>
        <v>-1.1411943946936745</v>
      </c>
      <c r="G40" s="2"/>
      <c r="H40" s="2"/>
      <c r="I40" s="2"/>
      <c r="J40" s="19">
        <f t="shared" si="5"/>
        <v>0</v>
      </c>
      <c r="K40" s="2"/>
      <c r="L40" s="2">
        <f t="shared" si="6"/>
        <v>-866523.34</v>
      </c>
      <c r="M40" s="2"/>
      <c r="N40" s="19">
        <f t="shared" si="7"/>
        <v>0</v>
      </c>
      <c r="O40" s="11"/>
      <c r="P40" s="2">
        <v>-1899863.51</v>
      </c>
      <c r="Q40" s="2"/>
      <c r="R40" s="19">
        <f t="shared" si="8"/>
        <v>-0.6481332885934582</v>
      </c>
      <c r="S40" s="2"/>
      <c r="T40" s="2"/>
      <c r="U40" s="2"/>
      <c r="V40" s="19">
        <f t="shared" si="9"/>
        <v>0</v>
      </c>
      <c r="W40" s="2"/>
      <c r="X40" s="2">
        <f t="shared" si="10"/>
        <v>-1899863.51</v>
      </c>
      <c r="Y40" s="2"/>
      <c r="Z40" s="19">
        <f t="shared" si="11"/>
        <v>0</v>
      </c>
    </row>
    <row r="41" spans="1:26" s="24" customFormat="1" hidden="1" outlineLevel="1" x14ac:dyDescent="0.25">
      <c r="A41" s="44"/>
      <c r="B41" s="11" t="str">
        <f>CONCATENATE("          ", "5300", " - ", "COG$ OFFSET")</f>
        <v xml:space="preserve">          5300 - COG$ OFFSET</v>
      </c>
      <c r="C41" s="11"/>
      <c r="D41" s="2">
        <v>478937.18</v>
      </c>
      <c r="E41" s="2"/>
      <c r="F41" s="19">
        <f t="shared" si="4"/>
        <v>0.63075095614434973</v>
      </c>
      <c r="G41" s="2"/>
      <c r="H41" s="2"/>
      <c r="I41" s="2"/>
      <c r="J41" s="19">
        <f t="shared" si="5"/>
        <v>0</v>
      </c>
      <c r="K41" s="2"/>
      <c r="L41" s="2">
        <f t="shared" si="6"/>
        <v>478937.18</v>
      </c>
      <c r="M41" s="2"/>
      <c r="N41" s="19">
        <f t="shared" si="7"/>
        <v>0</v>
      </c>
      <c r="O41" s="11"/>
      <c r="P41" s="2">
        <v>1802304.35</v>
      </c>
      <c r="Q41" s="2"/>
      <c r="R41" s="19">
        <f t="shared" si="8"/>
        <v>0.61485124550436532</v>
      </c>
      <c r="S41" s="2"/>
      <c r="T41" s="2"/>
      <c r="U41" s="2"/>
      <c r="V41" s="19">
        <f t="shared" si="9"/>
        <v>0</v>
      </c>
      <c r="W41" s="2"/>
      <c r="X41" s="2">
        <f t="shared" si="10"/>
        <v>1802304.35</v>
      </c>
      <c r="Y41" s="2"/>
      <c r="Z41" s="19">
        <f t="shared" si="11"/>
        <v>0</v>
      </c>
    </row>
    <row r="42" spans="1:26" s="24" customFormat="1" hidden="1" outlineLevel="1" x14ac:dyDescent="0.25">
      <c r="A42" s="44"/>
      <c r="B42" s="11" t="str">
        <f>CONCATENATE("          ", "5500", " - ", "FREIGHT-IN")</f>
        <v xml:space="preserve">          5500 - FREIGHT-IN</v>
      </c>
      <c r="C42" s="11"/>
      <c r="D42" s="2">
        <v>17166.12</v>
      </c>
      <c r="E42" s="2"/>
      <c r="F42" s="19">
        <f t="shared" si="4"/>
        <v>2.2607446352961455E-2</v>
      </c>
      <c r="G42" s="2"/>
      <c r="H42" s="2"/>
      <c r="I42" s="2"/>
      <c r="J42" s="19">
        <f t="shared" si="5"/>
        <v>0</v>
      </c>
      <c r="K42" s="2"/>
      <c r="L42" s="2">
        <f t="shared" si="6"/>
        <v>17166.12</v>
      </c>
      <c r="M42" s="2"/>
      <c r="N42" s="19">
        <f t="shared" si="7"/>
        <v>0</v>
      </c>
      <c r="O42" s="11"/>
      <c r="P42" s="2">
        <v>27376.44</v>
      </c>
      <c r="Q42" s="2"/>
      <c r="R42" s="19">
        <f t="shared" si="8"/>
        <v>9.3393983271890368E-3</v>
      </c>
      <c r="S42" s="2"/>
      <c r="T42" s="2"/>
      <c r="U42" s="2"/>
      <c r="V42" s="19">
        <f t="shared" si="9"/>
        <v>0</v>
      </c>
      <c r="W42" s="2"/>
      <c r="X42" s="2">
        <f t="shared" si="10"/>
        <v>27376.44</v>
      </c>
      <c r="Y42" s="2"/>
      <c r="Z42" s="19">
        <f t="shared" si="11"/>
        <v>0</v>
      </c>
    </row>
    <row r="43" spans="1:26" s="24" customFormat="1" hidden="1" outlineLevel="1" x14ac:dyDescent="0.25">
      <c r="A43" s="44"/>
      <c r="B43" s="11" t="str">
        <f>CONCATENATE("          ", "5501", " - ", "FREIGHT-IN-NEW TEXT")</f>
        <v xml:space="preserve">          5501 - FREIGHT-IN-NEW TEXT</v>
      </c>
      <c r="C43" s="11"/>
      <c r="D43" s="2">
        <v>0</v>
      </c>
      <c r="E43" s="2"/>
      <c r="F43" s="19">
        <f t="shared" si="4"/>
        <v>0</v>
      </c>
      <c r="G43" s="2"/>
      <c r="H43" s="2"/>
      <c r="I43" s="2"/>
      <c r="J43" s="19">
        <f t="shared" si="5"/>
        <v>0</v>
      </c>
      <c r="K43" s="2"/>
      <c r="L43" s="2">
        <f t="shared" si="6"/>
        <v>0</v>
      </c>
      <c r="M43" s="2"/>
      <c r="N43" s="19">
        <f t="shared" si="7"/>
        <v>0</v>
      </c>
      <c r="O43" s="11"/>
      <c r="P43" s="2">
        <v>0</v>
      </c>
      <c r="Q43" s="2"/>
      <c r="R43" s="19">
        <f t="shared" si="8"/>
        <v>0</v>
      </c>
      <c r="S43" s="2"/>
      <c r="T43" s="2"/>
      <c r="U43" s="2"/>
      <c r="V43" s="19">
        <f t="shared" si="9"/>
        <v>0</v>
      </c>
      <c r="W43" s="2"/>
      <c r="X43" s="2">
        <f t="shared" si="10"/>
        <v>0</v>
      </c>
      <c r="Y43" s="2"/>
      <c r="Z43" s="19">
        <f t="shared" si="11"/>
        <v>0</v>
      </c>
    </row>
    <row r="44" spans="1:26" s="24" customFormat="1" hidden="1" outlineLevel="1" x14ac:dyDescent="0.25">
      <c r="A44" s="44"/>
      <c r="B44" s="11" t="str">
        <f>CONCATENATE("          ", "5502", " - ", "FREIGHT-IN-USED TEXT")</f>
        <v xml:space="preserve">          5502 - FREIGHT-IN-USED TEXT</v>
      </c>
      <c r="C44" s="11"/>
      <c r="D44" s="2">
        <v>0</v>
      </c>
      <c r="E44" s="2"/>
      <c r="F44" s="19">
        <f t="shared" si="4"/>
        <v>0</v>
      </c>
      <c r="G44" s="2"/>
      <c r="H44" s="2"/>
      <c r="I44" s="2"/>
      <c r="J44" s="19">
        <f t="shared" si="5"/>
        <v>0</v>
      </c>
      <c r="K44" s="2"/>
      <c r="L44" s="2">
        <f t="shared" si="6"/>
        <v>0</v>
      </c>
      <c r="M44" s="2"/>
      <c r="N44" s="19">
        <f t="shared" si="7"/>
        <v>0</v>
      </c>
      <c r="O44" s="11"/>
      <c r="P44" s="2">
        <v>0</v>
      </c>
      <c r="Q44" s="2"/>
      <c r="R44" s="19">
        <f t="shared" si="8"/>
        <v>0</v>
      </c>
      <c r="S44" s="2"/>
      <c r="T44" s="2"/>
      <c r="U44" s="2"/>
      <c r="V44" s="19">
        <f t="shared" si="9"/>
        <v>0</v>
      </c>
      <c r="W44" s="2"/>
      <c r="X44" s="2">
        <f t="shared" si="10"/>
        <v>0</v>
      </c>
      <c r="Y44" s="2"/>
      <c r="Z44" s="19">
        <f t="shared" si="11"/>
        <v>0</v>
      </c>
    </row>
    <row r="45" spans="1:26" s="24" customFormat="1" hidden="1" outlineLevel="1" x14ac:dyDescent="0.25">
      <c r="A45" s="44"/>
      <c r="B45" s="11" t="str">
        <f>CONCATENATE("          ", "5518", " - ", "FREIGHT-IN-STUDY GUIDES")</f>
        <v xml:space="preserve">          5518 - FREIGHT-IN-STUDY GUIDES</v>
      </c>
      <c r="C45" s="11"/>
      <c r="D45" s="2"/>
      <c r="E45" s="2"/>
      <c r="F45" s="19">
        <f t="shared" si="4"/>
        <v>0</v>
      </c>
      <c r="G45" s="2"/>
      <c r="H45" s="2"/>
      <c r="I45" s="2"/>
      <c r="J45" s="19">
        <f t="shared" si="5"/>
        <v>0</v>
      </c>
      <c r="K45" s="2"/>
      <c r="L45" s="2">
        <f t="shared" si="6"/>
        <v>0</v>
      </c>
      <c r="M45" s="2"/>
      <c r="N45" s="19">
        <f t="shared" si="7"/>
        <v>0</v>
      </c>
      <c r="O45" s="11"/>
      <c r="P45" s="2">
        <v>0</v>
      </c>
      <c r="Q45" s="2"/>
      <c r="R45" s="19">
        <f t="shared" si="8"/>
        <v>0</v>
      </c>
      <c r="S45" s="2"/>
      <c r="T45" s="2"/>
      <c r="U45" s="2"/>
      <c r="V45" s="19">
        <f t="shared" si="9"/>
        <v>0</v>
      </c>
      <c r="W45" s="2"/>
      <c r="X45" s="2">
        <f t="shared" si="10"/>
        <v>0</v>
      </c>
      <c r="Y45" s="2"/>
      <c r="Z45" s="19">
        <f t="shared" si="11"/>
        <v>0</v>
      </c>
    </row>
    <row r="46" spans="1:26" s="24" customFormat="1" hidden="1" outlineLevel="1" x14ac:dyDescent="0.25">
      <c r="A46" s="44"/>
      <c r="B46" s="11" t="str">
        <f>CONCATENATE("          ", "5527", " - ", "FREIGHT-IN-SCHOOL SUPPLIES")</f>
        <v xml:space="preserve">          5527 - FREIGHT-IN-SCHOOL SUPPLIES</v>
      </c>
      <c r="C46" s="11"/>
      <c r="D46" s="2"/>
      <c r="E46" s="2"/>
      <c r="F46" s="19">
        <f t="shared" si="4"/>
        <v>0</v>
      </c>
      <c r="G46" s="2"/>
      <c r="H46" s="2"/>
      <c r="I46" s="2"/>
      <c r="J46" s="19">
        <f t="shared" si="5"/>
        <v>0</v>
      </c>
      <c r="K46" s="2"/>
      <c r="L46" s="2">
        <f t="shared" si="6"/>
        <v>0</v>
      </c>
      <c r="M46" s="2"/>
      <c r="N46" s="19">
        <f t="shared" si="7"/>
        <v>0</v>
      </c>
      <c r="O46" s="11"/>
      <c r="P46" s="2">
        <v>0</v>
      </c>
      <c r="Q46" s="2"/>
      <c r="R46" s="19">
        <f t="shared" si="8"/>
        <v>0</v>
      </c>
      <c r="S46" s="2"/>
      <c r="T46" s="2"/>
      <c r="U46" s="2"/>
      <c r="V46" s="19">
        <f t="shared" si="9"/>
        <v>0</v>
      </c>
      <c r="W46" s="2"/>
      <c r="X46" s="2">
        <f t="shared" si="10"/>
        <v>0</v>
      </c>
      <c r="Y46" s="2"/>
      <c r="Z46" s="19">
        <f t="shared" si="11"/>
        <v>0</v>
      </c>
    </row>
    <row r="47" spans="1:26" s="24" customFormat="1" hidden="1" outlineLevel="1" x14ac:dyDescent="0.25">
      <c r="A47" s="44"/>
      <c r="B47" s="11" t="str">
        <f>CONCATENATE("          ", "5528", " - ", "FREIGHT-IN-ART/TECH")</f>
        <v xml:space="preserve">          5528 - FREIGHT-IN-ART/TECH</v>
      </c>
      <c r="C47" s="11"/>
      <c r="D47" s="2">
        <v>0</v>
      </c>
      <c r="E47" s="2"/>
      <c r="F47" s="19">
        <f t="shared" si="4"/>
        <v>0</v>
      </c>
      <c r="G47" s="2"/>
      <c r="H47" s="2"/>
      <c r="I47" s="2"/>
      <c r="J47" s="19">
        <f t="shared" si="5"/>
        <v>0</v>
      </c>
      <c r="K47" s="2"/>
      <c r="L47" s="2">
        <f t="shared" si="6"/>
        <v>0</v>
      </c>
      <c r="M47" s="2"/>
      <c r="N47" s="19">
        <f t="shared" si="7"/>
        <v>0</v>
      </c>
      <c r="O47" s="11"/>
      <c r="P47" s="2">
        <v>0</v>
      </c>
      <c r="Q47" s="2"/>
      <c r="R47" s="19">
        <f t="shared" si="8"/>
        <v>0</v>
      </c>
      <c r="S47" s="2"/>
      <c r="T47" s="2"/>
      <c r="U47" s="2"/>
      <c r="V47" s="19">
        <f t="shared" si="9"/>
        <v>0</v>
      </c>
      <c r="W47" s="2"/>
      <c r="X47" s="2">
        <f t="shared" si="10"/>
        <v>0</v>
      </c>
      <c r="Y47" s="2"/>
      <c r="Z47" s="19">
        <f t="shared" si="11"/>
        <v>0</v>
      </c>
    </row>
    <row r="48" spans="1:26" s="24" customFormat="1" hidden="1" outlineLevel="1" x14ac:dyDescent="0.25">
      <c r="A48" s="44"/>
      <c r="B48" s="11" t="str">
        <f>CONCATENATE("          ", "5540", " - ", "FREIGHT-IN-LOGO CLOTHING")</f>
        <v xml:space="preserve">          5540 - FREIGHT-IN-LOGO CLOTHING</v>
      </c>
      <c r="C48" s="11"/>
      <c r="D48" s="2"/>
      <c r="E48" s="2"/>
      <c r="F48" s="19">
        <f t="shared" si="4"/>
        <v>0</v>
      </c>
      <c r="G48" s="2"/>
      <c r="H48" s="2"/>
      <c r="I48" s="2"/>
      <c r="J48" s="19">
        <f t="shared" si="5"/>
        <v>0</v>
      </c>
      <c r="K48" s="2"/>
      <c r="L48" s="2">
        <f t="shared" si="6"/>
        <v>0</v>
      </c>
      <c r="M48" s="2"/>
      <c r="N48" s="19">
        <f t="shared" si="7"/>
        <v>0</v>
      </c>
      <c r="O48" s="11"/>
      <c r="P48" s="2">
        <v>0</v>
      </c>
      <c r="Q48" s="2"/>
      <c r="R48" s="19">
        <f t="shared" si="8"/>
        <v>0</v>
      </c>
      <c r="S48" s="2"/>
      <c r="T48" s="2"/>
      <c r="U48" s="2"/>
      <c r="V48" s="19">
        <f t="shared" si="9"/>
        <v>0</v>
      </c>
      <c r="W48" s="2"/>
      <c r="X48" s="2">
        <f t="shared" si="10"/>
        <v>0</v>
      </c>
      <c r="Y48" s="2"/>
      <c r="Z48" s="19">
        <f t="shared" si="11"/>
        <v>0</v>
      </c>
    </row>
    <row r="49" spans="1:26" s="24" customFormat="1" hidden="1" outlineLevel="1" x14ac:dyDescent="0.25">
      <c r="A49" s="44"/>
      <c r="B49" s="11" t="str">
        <f>CONCATENATE("          ", "5541", " - ", "FREIGHT-IN-LOGO GIFTS")</f>
        <v xml:space="preserve">          5541 - FREIGHT-IN-LOGO GIFTS</v>
      </c>
      <c r="C49" s="11"/>
      <c r="D49" s="2">
        <v>0</v>
      </c>
      <c r="E49" s="2"/>
      <c r="F49" s="19">
        <f t="shared" si="4"/>
        <v>0</v>
      </c>
      <c r="G49" s="2"/>
      <c r="H49" s="2"/>
      <c r="I49" s="2"/>
      <c r="J49" s="19">
        <f t="shared" si="5"/>
        <v>0</v>
      </c>
      <c r="K49" s="2"/>
      <c r="L49" s="2">
        <f t="shared" si="6"/>
        <v>0</v>
      </c>
      <c r="M49" s="2"/>
      <c r="N49" s="19">
        <f t="shared" si="7"/>
        <v>0</v>
      </c>
      <c r="O49" s="11"/>
      <c r="P49" s="2">
        <v>0</v>
      </c>
      <c r="Q49" s="2"/>
      <c r="R49" s="19">
        <f t="shared" si="8"/>
        <v>0</v>
      </c>
      <c r="S49" s="2"/>
      <c r="T49" s="2"/>
      <c r="U49" s="2"/>
      <c r="V49" s="19">
        <f t="shared" si="9"/>
        <v>0</v>
      </c>
      <c r="W49" s="2"/>
      <c r="X49" s="2">
        <f t="shared" si="10"/>
        <v>0</v>
      </c>
      <c r="Y49" s="2"/>
      <c r="Z49" s="19">
        <f t="shared" si="11"/>
        <v>0</v>
      </c>
    </row>
    <row r="50" spans="1:26" s="24" customFormat="1" hidden="1" outlineLevel="1" x14ac:dyDescent="0.25">
      <c r="A50" s="44"/>
      <c r="B50" s="11" t="str">
        <f>CONCATENATE("          ", "5542", " - ", "FREIGHT-IN-EVERYDAY GIFTS")</f>
        <v xml:space="preserve">          5542 - FREIGHT-IN-EVERYDAY GIFTS</v>
      </c>
      <c r="C50" s="11"/>
      <c r="D50" s="2"/>
      <c r="E50" s="2"/>
      <c r="F50" s="19">
        <f t="shared" si="4"/>
        <v>0</v>
      </c>
      <c r="G50" s="2"/>
      <c r="H50" s="2"/>
      <c r="I50" s="2"/>
      <c r="J50" s="19">
        <f t="shared" si="5"/>
        <v>0</v>
      </c>
      <c r="K50" s="2"/>
      <c r="L50" s="2">
        <f t="shared" si="6"/>
        <v>0</v>
      </c>
      <c r="M50" s="2"/>
      <c r="N50" s="19">
        <f t="shared" si="7"/>
        <v>0</v>
      </c>
      <c r="O50" s="11"/>
      <c r="P50" s="2">
        <v>0</v>
      </c>
      <c r="Q50" s="2"/>
      <c r="R50" s="19">
        <f t="shared" si="8"/>
        <v>0</v>
      </c>
      <c r="S50" s="2"/>
      <c r="T50" s="2"/>
      <c r="U50" s="2"/>
      <c r="V50" s="19">
        <f t="shared" si="9"/>
        <v>0</v>
      </c>
      <c r="W50" s="2"/>
      <c r="X50" s="2">
        <f t="shared" si="10"/>
        <v>0</v>
      </c>
      <c r="Y50" s="2"/>
      <c r="Z50" s="19">
        <f t="shared" si="11"/>
        <v>0</v>
      </c>
    </row>
    <row r="51" spans="1:26" s="24" customFormat="1" hidden="1" outlineLevel="1" x14ac:dyDescent="0.25">
      <c r="A51" s="44"/>
      <c r="B51" s="11" t="str">
        <f>CONCATENATE("          ", "5544", " - ", "FREIGHT-IN-ACCESSORIES")</f>
        <v xml:space="preserve">          5544 - FREIGHT-IN-ACCESSORIES</v>
      </c>
      <c r="C51" s="11"/>
      <c r="D51" s="2"/>
      <c r="E51" s="2"/>
      <c r="F51" s="19">
        <f t="shared" si="4"/>
        <v>0</v>
      </c>
      <c r="G51" s="2"/>
      <c r="H51" s="2"/>
      <c r="I51" s="2"/>
      <c r="J51" s="19">
        <f t="shared" si="5"/>
        <v>0</v>
      </c>
      <c r="K51" s="2"/>
      <c r="L51" s="2">
        <f t="shared" si="6"/>
        <v>0</v>
      </c>
      <c r="M51" s="2"/>
      <c r="N51" s="19">
        <f t="shared" si="7"/>
        <v>0</v>
      </c>
      <c r="O51" s="11"/>
      <c r="P51" s="2">
        <v>0</v>
      </c>
      <c r="Q51" s="2"/>
      <c r="R51" s="19">
        <f t="shared" si="8"/>
        <v>0</v>
      </c>
      <c r="S51" s="2"/>
      <c r="T51" s="2"/>
      <c r="U51" s="2"/>
      <c r="V51" s="19">
        <f t="shared" si="9"/>
        <v>0</v>
      </c>
      <c r="W51" s="2"/>
      <c r="X51" s="2">
        <f t="shared" si="10"/>
        <v>0</v>
      </c>
      <c r="Y51" s="2"/>
      <c r="Z51" s="19">
        <f t="shared" si="11"/>
        <v>0</v>
      </c>
    </row>
    <row r="52" spans="1:26" s="24" customFormat="1" hidden="1" outlineLevel="1" x14ac:dyDescent="0.25">
      <c r="A52" s="44"/>
      <c r="B52" s="11" t="str">
        <f>CONCATENATE("          ", "5545", " - ", "FREIGHT-IN-SPECIAL ORDERS")</f>
        <v xml:space="preserve">          5545 - FREIGHT-IN-SPECIAL ORDERS</v>
      </c>
      <c r="C52" s="11"/>
      <c r="D52" s="2"/>
      <c r="E52" s="2"/>
      <c r="F52" s="19">
        <f t="shared" si="4"/>
        <v>0</v>
      </c>
      <c r="G52" s="2"/>
      <c r="H52" s="2"/>
      <c r="I52" s="2"/>
      <c r="J52" s="19">
        <f t="shared" si="5"/>
        <v>0</v>
      </c>
      <c r="K52" s="2"/>
      <c r="L52" s="2">
        <f t="shared" si="6"/>
        <v>0</v>
      </c>
      <c r="M52" s="2"/>
      <c r="N52" s="19">
        <f t="shared" si="7"/>
        <v>0</v>
      </c>
      <c r="O52" s="11"/>
      <c r="P52" s="2">
        <v>0</v>
      </c>
      <c r="Q52" s="2"/>
      <c r="R52" s="19">
        <f t="shared" si="8"/>
        <v>0</v>
      </c>
      <c r="S52" s="2"/>
      <c r="T52" s="2"/>
      <c r="U52" s="2"/>
      <c r="V52" s="19">
        <f t="shared" si="9"/>
        <v>0</v>
      </c>
      <c r="W52" s="2"/>
      <c r="X52" s="2">
        <f t="shared" si="10"/>
        <v>0</v>
      </c>
      <c r="Y52" s="2"/>
      <c r="Z52" s="19">
        <f t="shared" si="11"/>
        <v>0</v>
      </c>
    </row>
    <row r="53" spans="1:26" s="24" customFormat="1" hidden="1" outlineLevel="1" x14ac:dyDescent="0.25">
      <c r="A53" s="44"/>
      <c r="B53" s="11" t="str">
        <f>CONCATENATE("          ", "5583", " - ", "FREIGHT-IN-COMPUTER EQUIPMENT")</f>
        <v xml:space="preserve">          5583 - FREIGHT-IN-COMPUTER EQUIPMENT</v>
      </c>
      <c r="C53" s="11"/>
      <c r="D53" s="2"/>
      <c r="E53" s="2"/>
      <c r="F53" s="19">
        <f t="shared" si="4"/>
        <v>0</v>
      </c>
      <c r="G53" s="2"/>
      <c r="H53" s="2"/>
      <c r="I53" s="2"/>
      <c r="J53" s="19">
        <f t="shared" si="5"/>
        <v>0</v>
      </c>
      <c r="K53" s="2"/>
      <c r="L53" s="2">
        <f t="shared" si="6"/>
        <v>0</v>
      </c>
      <c r="M53" s="2"/>
      <c r="N53" s="19">
        <f t="shared" si="7"/>
        <v>0</v>
      </c>
      <c r="O53" s="11"/>
      <c r="P53" s="2">
        <v>0</v>
      </c>
      <c r="Q53" s="2"/>
      <c r="R53" s="19">
        <f t="shared" si="8"/>
        <v>0</v>
      </c>
      <c r="S53" s="2"/>
      <c r="T53" s="2"/>
      <c r="U53" s="2"/>
      <c r="V53" s="19">
        <f t="shared" si="9"/>
        <v>0</v>
      </c>
      <c r="W53" s="2"/>
      <c r="X53" s="2">
        <f t="shared" si="10"/>
        <v>0</v>
      </c>
      <c r="Y53" s="2"/>
      <c r="Z53" s="19">
        <f t="shared" si="11"/>
        <v>0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10"/>
      <c r="B55" s="25" t="s">
        <v>108</v>
      </c>
      <c r="C55" s="25"/>
      <c r="D55" s="21">
        <f>D12-D20</f>
        <v>256742.40999999997</v>
      </c>
      <c r="E55" s="13"/>
      <c r="F55" s="20">
        <f>IF(D$12=0,0,D55/D$12)</f>
        <v>0.33812476323158841</v>
      </c>
      <c r="G55" s="13"/>
      <c r="H55" s="21">
        <f>H12-H20</f>
        <v>341668</v>
      </c>
      <c r="I55" s="13"/>
      <c r="J55" s="20">
        <f>IF(H$12=0,0,H55/H$12)</f>
        <v>0.32267411112286376</v>
      </c>
      <c r="K55" s="16"/>
      <c r="L55" s="21">
        <f>+D55-H55</f>
        <v>-84925.590000000026</v>
      </c>
      <c r="M55" s="16"/>
      <c r="N55" s="20">
        <f>IF(H55=0,0,L55/H55)</f>
        <v>-0.24856173244201982</v>
      </c>
      <c r="O55" s="26"/>
      <c r="P55" s="21">
        <f>P12-P20</f>
        <v>934790.94000000018</v>
      </c>
      <c r="Q55" s="13"/>
      <c r="R55" s="20">
        <f>IF(P$12=0,0,P55/P$12)</f>
        <v>0.31890139628481534</v>
      </c>
      <c r="S55" s="13"/>
      <c r="T55" s="21">
        <f>T12-T20</f>
        <v>1422583</v>
      </c>
      <c r="U55" s="13"/>
      <c r="V55" s="20">
        <f>IF(T$12=0,0,T55/T$12)</f>
        <v>0.29734843378107528</v>
      </c>
      <c r="W55" s="16"/>
      <c r="X55" s="21">
        <f>+P55-T55</f>
        <v>-487792.05999999982</v>
      </c>
      <c r="Y55" s="16"/>
      <c r="Z55" s="20">
        <f>IF(T55=0,0,X55/T55)</f>
        <v>-0.3428918101790896</v>
      </c>
    </row>
    <row r="56" spans="1:26" x14ac:dyDescent="0.25">
      <c r="A56" s="9"/>
      <c r="B56" s="10"/>
      <c r="C56" s="9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6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25">
      <c r="A57" s="10"/>
      <c r="B57" s="26" t="s">
        <v>295</v>
      </c>
      <c r="C57" s="10"/>
      <c r="D57" s="22">
        <f>SUM(OSRRefD22x_0)</f>
        <v>304069.21999999997</v>
      </c>
      <c r="E57" s="22"/>
      <c r="F57" s="32">
        <f t="shared" ref="F57:F68" si="12">IF(D$12=0,0,D57/D$12)</f>
        <v>0.40045325202997734</v>
      </c>
      <c r="G57" s="22"/>
      <c r="H57" s="22">
        <f>SUM(OSRRefH22x_0)</f>
        <v>329088.25645178277</v>
      </c>
      <c r="I57" s="22"/>
      <c r="J57" s="32">
        <f t="shared" ref="J57:J68" si="13">IF(H$12=0,0,H57/H$12)</f>
        <v>0.31079369631206916</v>
      </c>
      <c r="K57" s="4"/>
      <c r="L57" s="22">
        <f t="shared" ref="L57:L68" si="14">+D57-H57</f>
        <v>-25019.036451782798</v>
      </c>
      <c r="M57" s="4"/>
      <c r="N57" s="32">
        <f t="shared" ref="N57:N68" si="15">IF(H57=0,0,L57/H57)</f>
        <v>-7.6025309202878005E-2</v>
      </c>
      <c r="O57" s="10"/>
      <c r="P57" s="22">
        <f>SUM(OSRRefP22x_0)</f>
        <v>1038387.0399999999</v>
      </c>
      <c r="Q57" s="22"/>
      <c r="R57" s="32">
        <f t="shared" ref="R57:R68" si="16">IF(P$12=0,0,P57/P$12)</f>
        <v>0.35424292509730176</v>
      </c>
      <c r="S57" s="22"/>
      <c r="T57" s="22">
        <f>SUM(OSRRefT22x_0)</f>
        <v>1120818.2341559869</v>
      </c>
      <c r="U57" s="22"/>
      <c r="V57" s="32">
        <f t="shared" ref="V57:V68" si="17">IF(T$12=0,0,T57/T$12)</f>
        <v>0.23427353376186361</v>
      </c>
      <c r="W57" s="4"/>
      <c r="X57" s="22">
        <f t="shared" ref="X57:X68" si="18">+P57-T57</f>
        <v>-82431.194155987003</v>
      </c>
      <c r="Y57" s="4"/>
      <c r="Z57" s="32">
        <f t="shared" ref="Z57:Z68" si="19">IF(T57=0,0,X57/T57)</f>
        <v>-7.3545550602199486E-2</v>
      </c>
    </row>
    <row r="58" spans="1:26" s="28" customFormat="1" outlineLevel="1" collapsed="1" x14ac:dyDescent="0.25">
      <c r="A58" s="27"/>
      <c r="B58" s="14" t="str">
        <f>CONCATENATE("     ","*Benefits                                         ")</f>
        <v xml:space="preserve">     *Benefits                                         </v>
      </c>
      <c r="C58" s="14"/>
      <c r="D58" s="1">
        <f>SUM(OSRRefD22_0x_0)</f>
        <v>47590.890000000014</v>
      </c>
      <c r="E58" s="1"/>
      <c r="F58" s="5">
        <f t="shared" si="12"/>
        <v>6.267627702501731E-2</v>
      </c>
      <c r="G58" s="1"/>
      <c r="H58" s="1">
        <f>SUM(OSRRefH22_0x_0)</f>
        <v>48866.780356529016</v>
      </c>
      <c r="I58" s="1"/>
      <c r="J58" s="5">
        <f t="shared" si="13"/>
        <v>4.6150195262591814E-2</v>
      </c>
      <c r="K58" s="1"/>
      <c r="L58" s="1">
        <f t="shared" si="14"/>
        <v>-1275.890356529002</v>
      </c>
      <c r="M58" s="1"/>
      <c r="N58" s="5">
        <f t="shared" si="15"/>
        <v>-2.6109564559403844E-2</v>
      </c>
      <c r="O58" s="14"/>
      <c r="P58" s="1">
        <f>SUM(OSRRefP22_0x_0)</f>
        <v>150272.32999999999</v>
      </c>
      <c r="Q58" s="1"/>
      <c r="R58" s="5">
        <f t="shared" si="16"/>
        <v>5.1264998203740114E-2</v>
      </c>
      <c r="S58" s="1"/>
      <c r="T58" s="1">
        <f>SUM(OSRRefT22_0x_0)</f>
        <v>163616.34530795005</v>
      </c>
      <c r="U58" s="1"/>
      <c r="V58" s="5">
        <f t="shared" si="17"/>
        <v>3.4199104037024572E-2</v>
      </c>
      <c r="W58" s="1"/>
      <c r="X58" s="1">
        <f t="shared" si="18"/>
        <v>-13344.01530795006</v>
      </c>
      <c r="Y58" s="1"/>
      <c r="Z58" s="5">
        <f t="shared" si="19"/>
        <v>-8.1556737395855283E-2</v>
      </c>
    </row>
    <row r="59" spans="1:26" s="24" customFormat="1" hidden="1" outlineLevel="2" x14ac:dyDescent="0.25">
      <c r="A59" s="29"/>
      <c r="B59" s="11" t="str">
        <f>CONCATENATE("          ", "6111", " - ", "F.I.C.A.")</f>
        <v xml:space="preserve">          6111 - F.I.C.A.</v>
      </c>
      <c r="C59" s="11"/>
      <c r="D59" s="7">
        <v>8148.35</v>
      </c>
      <c r="E59" s="2"/>
      <c r="F59" s="6">
        <f t="shared" si="12"/>
        <v>1.0731218556677543E-2</v>
      </c>
      <c r="G59" s="2"/>
      <c r="H59" s="7">
        <v>9431.0353825497696</v>
      </c>
      <c r="I59" s="2"/>
      <c r="J59" s="6">
        <f t="shared" si="13"/>
        <v>8.9067485366862691E-3</v>
      </c>
      <c r="K59" s="2"/>
      <c r="L59" s="7">
        <f t="shared" si="14"/>
        <v>-1282.6853825497692</v>
      </c>
      <c r="M59" s="2"/>
      <c r="N59" s="6">
        <f t="shared" si="15"/>
        <v>-0.13600684659959181</v>
      </c>
      <c r="O59" s="11"/>
      <c r="P59" s="7">
        <v>31156.63</v>
      </c>
      <c r="Q59" s="2"/>
      <c r="R59" s="6">
        <f t="shared" si="16"/>
        <v>1.0628999902940185E-2</v>
      </c>
      <c r="S59" s="2"/>
      <c r="T59" s="7">
        <v>34314.800555979098</v>
      </c>
      <c r="U59" s="2"/>
      <c r="V59" s="6">
        <f t="shared" si="17"/>
        <v>7.1724828715304173E-3</v>
      </c>
      <c r="W59" s="2"/>
      <c r="X59" s="7">
        <f t="shared" si="18"/>
        <v>-3158.1705559790971</v>
      </c>
      <c r="Y59" s="2"/>
      <c r="Z59" s="6">
        <f t="shared" si="19"/>
        <v>-9.2035229836963439E-2</v>
      </c>
    </row>
    <row r="60" spans="1:26" s="24" customFormat="1" hidden="1" outlineLevel="2" x14ac:dyDescent="0.25">
      <c r="A60" s="29"/>
      <c r="B60" s="11" t="str">
        <f>CONCATENATE("          ", "6112", " - ", "COMPENSATION INSURANCE")</f>
        <v xml:space="preserve">          6112 - COMPENSATION INSURANCE</v>
      </c>
      <c r="C60" s="11"/>
      <c r="D60" s="7">
        <v>2621.37</v>
      </c>
      <c r="E60" s="2"/>
      <c r="F60" s="6">
        <f t="shared" si="12"/>
        <v>3.4522933339777755E-3</v>
      </c>
      <c r="G60" s="2"/>
      <c r="H60" s="7">
        <v>2874.8956318800001</v>
      </c>
      <c r="I60" s="2"/>
      <c r="J60" s="6">
        <f t="shared" si="13"/>
        <v>2.7150754316701674E-3</v>
      </c>
      <c r="K60" s="2"/>
      <c r="L60" s="7">
        <f t="shared" si="14"/>
        <v>-253.52563188000022</v>
      </c>
      <c r="M60" s="2"/>
      <c r="N60" s="6">
        <f t="shared" si="15"/>
        <v>-8.8186029805266519E-2</v>
      </c>
      <c r="O60" s="11"/>
      <c r="P60" s="7">
        <v>7424.52</v>
      </c>
      <c r="Q60" s="2"/>
      <c r="R60" s="6">
        <f t="shared" si="16"/>
        <v>2.5328548806266104E-3</v>
      </c>
      <c r="S60" s="2"/>
      <c r="T60" s="7">
        <v>9758.1143036100002</v>
      </c>
      <c r="U60" s="2"/>
      <c r="V60" s="6">
        <f t="shared" si="17"/>
        <v>2.0396419785946702E-3</v>
      </c>
      <c r="W60" s="2"/>
      <c r="X60" s="7">
        <f t="shared" si="18"/>
        <v>-2333.5943036099998</v>
      </c>
      <c r="Y60" s="2"/>
      <c r="Z60" s="6">
        <f t="shared" si="19"/>
        <v>-0.23914398120410313</v>
      </c>
    </row>
    <row r="61" spans="1:26" s="24" customFormat="1" hidden="1" outlineLevel="2" x14ac:dyDescent="0.25">
      <c r="A61" s="29"/>
      <c r="B61" s="11" t="str">
        <f>CONCATENATE("          ", "6113", " - ", "GROUP INSURANCE")</f>
        <v xml:space="preserve">          6113 - GROUP INSURANCE</v>
      </c>
      <c r="C61" s="11"/>
      <c r="D61" s="7">
        <v>18116.18</v>
      </c>
      <c r="E61" s="2"/>
      <c r="F61" s="6">
        <f t="shared" si="12"/>
        <v>2.385865690503115E-2</v>
      </c>
      <c r="G61" s="2"/>
      <c r="H61" s="7">
        <v>17647.9230769231</v>
      </c>
      <c r="I61" s="2"/>
      <c r="J61" s="6">
        <f t="shared" si="13"/>
        <v>1.6666845862096644E-2</v>
      </c>
      <c r="K61" s="2"/>
      <c r="L61" s="7">
        <f t="shared" si="14"/>
        <v>468.25692307690042</v>
      </c>
      <c r="M61" s="2"/>
      <c r="N61" s="6">
        <f t="shared" si="15"/>
        <v>2.653325952498092E-2</v>
      </c>
      <c r="O61" s="11"/>
      <c r="P61" s="7">
        <v>54903.1</v>
      </c>
      <c r="Q61" s="2"/>
      <c r="R61" s="6">
        <f t="shared" si="16"/>
        <v>1.8730043800344109E-2</v>
      </c>
      <c r="S61" s="2"/>
      <c r="T61" s="7">
        <v>56142</v>
      </c>
      <c r="U61" s="2"/>
      <c r="V61" s="6">
        <f t="shared" si="17"/>
        <v>1.173480617253062E-2</v>
      </c>
      <c r="W61" s="2"/>
      <c r="X61" s="7">
        <f t="shared" si="18"/>
        <v>-1238.9000000000015</v>
      </c>
      <c r="Y61" s="2"/>
      <c r="Z61" s="6">
        <f t="shared" si="19"/>
        <v>-2.2067258024295561E-2</v>
      </c>
    </row>
    <row r="62" spans="1:26" s="24" customFormat="1" hidden="1" outlineLevel="2" x14ac:dyDescent="0.25">
      <c r="A62" s="29"/>
      <c r="B62" s="11" t="str">
        <f>CONCATENATE("          ", "6114", " - ", "STATE UNEMPLOYMENT INSURANCE")</f>
        <v xml:space="preserve">          6114 - STATE UNEMPLOYMENT INSURANCE</v>
      </c>
      <c r="C62" s="11"/>
      <c r="D62" s="7">
        <v>473.03</v>
      </c>
      <c r="E62" s="2"/>
      <c r="F62" s="6">
        <f t="shared" si="12"/>
        <v>6.2297131491224325E-4</v>
      </c>
      <c r="G62" s="2"/>
      <c r="H62" s="7">
        <v>387.00518121461602</v>
      </c>
      <c r="I62" s="2"/>
      <c r="J62" s="6">
        <f t="shared" si="13"/>
        <v>3.6549092349406155E-4</v>
      </c>
      <c r="K62" s="2"/>
      <c r="L62" s="7">
        <f t="shared" si="14"/>
        <v>86.024818785383957</v>
      </c>
      <c r="M62" s="2"/>
      <c r="N62" s="6">
        <f t="shared" si="15"/>
        <v>0.22228337748707913</v>
      </c>
      <c r="O62" s="11"/>
      <c r="P62" s="7">
        <v>1342.12</v>
      </c>
      <c r="Q62" s="2"/>
      <c r="R62" s="6">
        <f t="shared" si="16"/>
        <v>4.5786060141080981E-4</v>
      </c>
      <c r="S62" s="2"/>
      <c r="T62" s="7">
        <v>1313.59231010135</v>
      </c>
      <c r="U62" s="2"/>
      <c r="V62" s="6">
        <f t="shared" si="17"/>
        <v>2.7456718942620641E-4</v>
      </c>
      <c r="W62" s="2"/>
      <c r="X62" s="7">
        <f t="shared" si="18"/>
        <v>28.527689898649896</v>
      </c>
      <c r="Y62" s="2"/>
      <c r="Z62" s="6">
        <f t="shared" si="19"/>
        <v>2.1717308847863801E-2</v>
      </c>
    </row>
    <row r="63" spans="1:26" s="24" customFormat="1" hidden="1" outlineLevel="2" x14ac:dyDescent="0.25">
      <c r="A63" s="29"/>
      <c r="B63" s="11" t="str">
        <f>CONCATENATE("          ", "6115", " - ", "P.E.R.S.")</f>
        <v xml:space="preserve">          6115 - P.E.R.S.</v>
      </c>
      <c r="C63" s="11"/>
      <c r="D63" s="7">
        <v>6395.48</v>
      </c>
      <c r="E63" s="2"/>
      <c r="F63" s="6">
        <f t="shared" si="12"/>
        <v>8.4227228401897412E-3</v>
      </c>
      <c r="G63" s="2"/>
      <c r="H63" s="7">
        <v>4748.2359156461498</v>
      </c>
      <c r="I63" s="2"/>
      <c r="J63" s="6">
        <f t="shared" si="13"/>
        <v>4.4842736325402975E-3</v>
      </c>
      <c r="K63" s="2"/>
      <c r="L63" s="7">
        <f t="shared" si="14"/>
        <v>1647.2440843538498</v>
      </c>
      <c r="M63" s="2"/>
      <c r="N63" s="6">
        <f t="shared" si="15"/>
        <v>0.34691706848978027</v>
      </c>
      <c r="O63" s="11"/>
      <c r="P63" s="7">
        <v>19221.09</v>
      </c>
      <c r="Q63" s="2"/>
      <c r="R63" s="6">
        <f t="shared" si="16"/>
        <v>6.5572227723089613E-3</v>
      </c>
      <c r="S63" s="2"/>
      <c r="T63" s="7">
        <v>16175.327687388401</v>
      </c>
      <c r="U63" s="2"/>
      <c r="V63" s="6">
        <f t="shared" si="17"/>
        <v>3.3809685295976429E-3</v>
      </c>
      <c r="W63" s="2"/>
      <c r="X63" s="7">
        <f t="shared" si="18"/>
        <v>3045.7623126115996</v>
      </c>
      <c r="Y63" s="2"/>
      <c r="Z63" s="6">
        <f t="shared" si="19"/>
        <v>0.1882967919707941</v>
      </c>
    </row>
    <row r="64" spans="1:26" s="24" customFormat="1" hidden="1" outlineLevel="2" x14ac:dyDescent="0.25">
      <c r="A64" s="29"/>
      <c r="B64" s="11" t="str">
        <f>CONCATENATE("          ", "6116", " - ", "EDUCATIONAL BENEFITS")</f>
        <v xml:space="preserve">          6116 - EDUCATIONAL BENEFITS</v>
      </c>
      <c r="C64" s="11"/>
      <c r="D64" s="7"/>
      <c r="E64" s="2"/>
      <c r="F64" s="6">
        <f t="shared" si="12"/>
        <v>0</v>
      </c>
      <c r="G64" s="2"/>
      <c r="H64" s="7">
        <v>0</v>
      </c>
      <c r="I64" s="2"/>
      <c r="J64" s="6">
        <f t="shared" si="13"/>
        <v>0</v>
      </c>
      <c r="K64" s="2"/>
      <c r="L64" s="7">
        <f t="shared" si="14"/>
        <v>0</v>
      </c>
      <c r="M64" s="2"/>
      <c r="N64" s="6">
        <f t="shared" si="15"/>
        <v>0</v>
      </c>
      <c r="O64" s="11"/>
      <c r="P64" s="7"/>
      <c r="Q64" s="2"/>
      <c r="R64" s="6">
        <f t="shared" si="16"/>
        <v>0</v>
      </c>
      <c r="S64" s="2"/>
      <c r="T64" s="7">
        <v>0</v>
      </c>
      <c r="U64" s="2"/>
      <c r="V64" s="6">
        <f t="shared" si="17"/>
        <v>0</v>
      </c>
      <c r="W64" s="2"/>
      <c r="X64" s="7">
        <f t="shared" si="18"/>
        <v>0</v>
      </c>
      <c r="Y64" s="2"/>
      <c r="Z64" s="6">
        <f t="shared" si="19"/>
        <v>0</v>
      </c>
    </row>
    <row r="65" spans="1:26" s="24" customFormat="1" hidden="1" outlineLevel="2" x14ac:dyDescent="0.25">
      <c r="A65" s="29"/>
      <c r="B65" s="11" t="str">
        <f>CONCATENATE("          ", "6117", " - ", "RETIREMENT STAFF HOURLY")</f>
        <v xml:space="preserve">          6117 - RETIREMENT STAFF HOURLY</v>
      </c>
      <c r="C65" s="11"/>
      <c r="D65" s="7">
        <v>484.12</v>
      </c>
      <c r="E65" s="2"/>
      <c r="F65" s="6">
        <f t="shared" si="12"/>
        <v>6.3757662933707209E-4</v>
      </c>
      <c r="G65" s="2"/>
      <c r="H65" s="7"/>
      <c r="I65" s="2"/>
      <c r="J65" s="6">
        <f t="shared" si="13"/>
        <v>0</v>
      </c>
      <c r="K65" s="2"/>
      <c r="L65" s="7">
        <f t="shared" si="14"/>
        <v>484.12</v>
      </c>
      <c r="M65" s="2"/>
      <c r="N65" s="6">
        <f t="shared" si="15"/>
        <v>0</v>
      </c>
      <c r="O65" s="11"/>
      <c r="P65" s="7">
        <v>2222.35</v>
      </c>
      <c r="Q65" s="2"/>
      <c r="R65" s="6">
        <f t="shared" si="16"/>
        <v>7.5814868085216918E-4</v>
      </c>
      <c r="S65" s="2"/>
      <c r="T65" s="7"/>
      <c r="U65" s="2"/>
      <c r="V65" s="6">
        <f t="shared" si="17"/>
        <v>0</v>
      </c>
      <c r="W65" s="2"/>
      <c r="X65" s="7">
        <f t="shared" si="18"/>
        <v>2222.35</v>
      </c>
      <c r="Y65" s="2"/>
      <c r="Z65" s="6">
        <f t="shared" si="19"/>
        <v>0</v>
      </c>
    </row>
    <row r="66" spans="1:26" s="24" customFormat="1" hidden="1" outlineLevel="2" x14ac:dyDescent="0.25">
      <c r="A66" s="29"/>
      <c r="B66" s="11" t="str">
        <f>CONCATENATE("          ", "6118", " - ", "VACATION")</f>
        <v xml:space="preserve">          6118 - VACATION</v>
      </c>
      <c r="C66" s="11"/>
      <c r="D66" s="7">
        <v>4797.8</v>
      </c>
      <c r="E66" s="2"/>
      <c r="F66" s="6">
        <f t="shared" si="12"/>
        <v>6.318609337010255E-3</v>
      </c>
      <c r="G66" s="2"/>
      <c r="H66" s="7">
        <v>4356.74407343846</v>
      </c>
      <c r="I66" s="2"/>
      <c r="J66" s="6">
        <f t="shared" si="13"/>
        <v>4.1145454689539545E-3</v>
      </c>
      <c r="K66" s="2"/>
      <c r="L66" s="7">
        <f t="shared" si="14"/>
        <v>441.05592656154022</v>
      </c>
      <c r="M66" s="2"/>
      <c r="N66" s="6">
        <f t="shared" si="15"/>
        <v>0.10123521582332629</v>
      </c>
      <c r="O66" s="11"/>
      <c r="P66" s="7">
        <v>15877.89</v>
      </c>
      <c r="Q66" s="2"/>
      <c r="R66" s="6">
        <f t="shared" si="16"/>
        <v>5.4166991509959489E-3</v>
      </c>
      <c r="S66" s="2"/>
      <c r="T66" s="7">
        <v>15024.0240079058</v>
      </c>
      <c r="U66" s="2"/>
      <c r="V66" s="6">
        <f t="shared" si="17"/>
        <v>3.1403229251580141E-3</v>
      </c>
      <c r="W66" s="2"/>
      <c r="X66" s="7">
        <f t="shared" si="18"/>
        <v>853.8659920941991</v>
      </c>
      <c r="Y66" s="2"/>
      <c r="Z66" s="6">
        <f t="shared" si="19"/>
        <v>5.683337510941714E-2</v>
      </c>
    </row>
    <row r="67" spans="1:26" s="24" customFormat="1" hidden="1" outlineLevel="2" x14ac:dyDescent="0.25">
      <c r="A67" s="29"/>
      <c r="B67" s="11" t="str">
        <f>CONCATENATE("          ", "6119", " - ", "SICK LEAVE")</f>
        <v xml:space="preserve">          6119 - SICK LEAVE</v>
      </c>
      <c r="C67" s="11"/>
      <c r="D67" s="7">
        <v>4045.97</v>
      </c>
      <c r="E67" s="2"/>
      <c r="F67" s="6">
        <f t="shared" si="12"/>
        <v>5.3284638416072746E-3</v>
      </c>
      <c r="G67" s="2"/>
      <c r="H67" s="7">
        <v>6620.94109487692</v>
      </c>
      <c r="I67" s="2"/>
      <c r="J67" s="6">
        <f t="shared" si="13"/>
        <v>6.2528720353859611E-3</v>
      </c>
      <c r="K67" s="2"/>
      <c r="L67" s="7">
        <f t="shared" si="14"/>
        <v>-2574.9710948769202</v>
      </c>
      <c r="M67" s="2"/>
      <c r="N67" s="6">
        <f t="shared" si="15"/>
        <v>-0.38891315569464185</v>
      </c>
      <c r="O67" s="11"/>
      <c r="P67" s="7">
        <v>11973.05</v>
      </c>
      <c r="Q67" s="2"/>
      <c r="R67" s="6">
        <f t="shared" si="16"/>
        <v>4.0845735654946626E-3</v>
      </c>
      <c r="S67" s="2"/>
      <c r="T67" s="7">
        <v>22488.486442965401</v>
      </c>
      <c r="U67" s="2"/>
      <c r="V67" s="6">
        <f t="shared" si="17"/>
        <v>4.7005455723305471E-3</v>
      </c>
      <c r="W67" s="2"/>
      <c r="X67" s="7">
        <f t="shared" si="18"/>
        <v>-10515.436442965402</v>
      </c>
      <c r="Y67" s="2"/>
      <c r="Z67" s="6">
        <f t="shared" si="19"/>
        <v>-0.46759200400766515</v>
      </c>
    </row>
    <row r="68" spans="1:26" s="24" customFormat="1" hidden="1" outlineLevel="2" x14ac:dyDescent="0.25">
      <c r="A68" s="29"/>
      <c r="B68" s="11" t="str">
        <f>CONCATENATE("          ", "6156", " - ", "EMPLOYEE MEALS")</f>
        <v xml:space="preserve">          6156 - EMPLOYEE MEALS</v>
      </c>
      <c r="C68" s="11"/>
      <c r="D68" s="7">
        <v>2508.59</v>
      </c>
      <c r="E68" s="2"/>
      <c r="F68" s="6">
        <f t="shared" si="12"/>
        <v>3.3037642662742416E-3</v>
      </c>
      <c r="G68" s="2"/>
      <c r="H68" s="7">
        <v>2800</v>
      </c>
      <c r="I68" s="2"/>
      <c r="J68" s="6">
        <f t="shared" si="13"/>
        <v>2.6443433717644568E-3</v>
      </c>
      <c r="K68" s="2"/>
      <c r="L68" s="7">
        <f t="shared" si="14"/>
        <v>-291.40999999999985</v>
      </c>
      <c r="M68" s="2"/>
      <c r="N68" s="6">
        <f t="shared" si="15"/>
        <v>-0.10407499999999995</v>
      </c>
      <c r="O68" s="11"/>
      <c r="P68" s="7">
        <v>6151.58</v>
      </c>
      <c r="Q68" s="2"/>
      <c r="R68" s="6">
        <f t="shared" si="16"/>
        <v>2.0985948487666599E-3</v>
      </c>
      <c r="S68" s="2"/>
      <c r="T68" s="7">
        <v>8400</v>
      </c>
      <c r="U68" s="2"/>
      <c r="V68" s="6">
        <f t="shared" si="17"/>
        <v>1.7557687978564571E-3</v>
      </c>
      <c r="W68" s="2"/>
      <c r="X68" s="7">
        <f t="shared" si="18"/>
        <v>-2248.42</v>
      </c>
      <c r="Y68" s="2"/>
      <c r="Z68" s="6">
        <f t="shared" si="19"/>
        <v>-0.26766904761904764</v>
      </c>
    </row>
    <row r="69" spans="1:26" s="28" customFormat="1" outlineLevel="1" collapsed="1" x14ac:dyDescent="0.25">
      <c r="A69" s="27"/>
      <c r="B69" s="14" t="str">
        <f>CONCATENATE("     ","*Payroll                                          ")</f>
        <v xml:space="preserve">     *Payroll                                          </v>
      </c>
      <c r="C69" s="14"/>
      <c r="D69" s="1">
        <f>SUM(OSRRefD22_1x_0)</f>
        <v>168420.47</v>
      </c>
      <c r="E69" s="1"/>
      <c r="F69" s="5">
        <f t="shared" ref="F69:F79" si="20">IF(D$12=0,0,D69/D$12)</f>
        <v>0.22180648511518938</v>
      </c>
      <c r="G69" s="1"/>
      <c r="H69" s="1">
        <f>SUM(OSRRefH22_1x_0)</f>
        <v>176826.47609525381</v>
      </c>
      <c r="I69" s="1"/>
      <c r="J69" s="5">
        <f t="shared" ref="J69:J79" si="21">IF(H$12=0,0,H69/H$12)</f>
        <v>0.1669964000053395</v>
      </c>
      <c r="K69" s="1"/>
      <c r="L69" s="1">
        <f t="shared" ref="L69:L79" si="22">+D69-H69</f>
        <v>-8406.0060952538042</v>
      </c>
      <c r="M69" s="1"/>
      <c r="N69" s="5">
        <f t="shared" ref="N69:N79" si="23">IF(H69=0,0,L69/H69)</f>
        <v>-4.7538164424684982E-2</v>
      </c>
      <c r="O69" s="14"/>
      <c r="P69" s="1">
        <f>SUM(OSRRefP22_1x_0)</f>
        <v>541162.25</v>
      </c>
      <c r="Q69" s="1"/>
      <c r="R69" s="5">
        <f t="shared" ref="R69:R79" si="24">IF(P$12=0,0,P69/P$12)</f>
        <v>0.18461603526199374</v>
      </c>
      <c r="S69" s="1"/>
      <c r="T69" s="1">
        <f>SUM(OSRRefT22_1x_0)</f>
        <v>600109.88884803699</v>
      </c>
      <c r="U69" s="1"/>
      <c r="V69" s="5">
        <f t="shared" ref="V69:V79" si="25">IF(T$12=0,0,T69/T$12)</f>
        <v>0.12543502596720119</v>
      </c>
      <c r="W69" s="1"/>
      <c r="X69" s="1">
        <f t="shared" ref="X69:X79" si="26">+P69-T69</f>
        <v>-58947.638848036993</v>
      </c>
      <c r="Y69" s="1"/>
      <c r="Z69" s="5">
        <f t="shared" ref="Z69:Z79" si="27">IF(T69=0,0,X69/T69)</f>
        <v>-9.8228074463482182E-2</v>
      </c>
    </row>
    <row r="70" spans="1:26" s="24" customFormat="1" hidden="1" outlineLevel="2" x14ac:dyDescent="0.25">
      <c r="A70" s="29"/>
      <c r="B70" s="11" t="str">
        <f>CONCATENATE("          ", "6001", " - ", "ADMINISTRATIVE SALARIES")</f>
        <v xml:space="preserve">          6001 - ADMINISTRATIVE SALARIES</v>
      </c>
      <c r="C70" s="11"/>
      <c r="D70" s="7">
        <v>4479.1000000000004</v>
      </c>
      <c r="E70" s="2"/>
      <c r="F70" s="6">
        <f t="shared" si="20"/>
        <v>5.8988876321236054E-3</v>
      </c>
      <c r="G70" s="2"/>
      <c r="H70" s="7">
        <v>4139.8076923076896</v>
      </c>
      <c r="I70" s="2"/>
      <c r="J70" s="6">
        <f t="shared" si="21"/>
        <v>3.9096689398333403E-3</v>
      </c>
      <c r="K70" s="2"/>
      <c r="L70" s="7">
        <f t="shared" si="22"/>
        <v>339.29230769231071</v>
      </c>
      <c r="M70" s="2"/>
      <c r="N70" s="6">
        <f t="shared" si="23"/>
        <v>8.1958470757653959E-2</v>
      </c>
      <c r="O70" s="11"/>
      <c r="P70" s="7">
        <v>14557.3</v>
      </c>
      <c r="Q70" s="2"/>
      <c r="R70" s="6">
        <f t="shared" si="24"/>
        <v>4.9661834507477584E-3</v>
      </c>
      <c r="S70" s="2"/>
      <c r="T70" s="7">
        <v>13454.375</v>
      </c>
      <c r="U70" s="2"/>
      <c r="V70" s="6">
        <f t="shared" si="25"/>
        <v>2.8122347404357108E-3</v>
      </c>
      <c r="W70" s="2"/>
      <c r="X70" s="7">
        <f t="shared" si="26"/>
        <v>1102.9249999999993</v>
      </c>
      <c r="Y70" s="2"/>
      <c r="Z70" s="6">
        <f t="shared" si="27"/>
        <v>8.1975193942490768E-2</v>
      </c>
    </row>
    <row r="71" spans="1:26" s="24" customFormat="1" hidden="1" outlineLevel="2" x14ac:dyDescent="0.25">
      <c r="A71" s="29"/>
      <c r="B71" s="11" t="str">
        <f>CONCATENATE("          ", "6002", " - ", "STAFF SALARIES")</f>
        <v xml:space="preserve">          6002 - STAFF SALARIES</v>
      </c>
      <c r="C71" s="11"/>
      <c r="D71" s="7">
        <v>60625.02</v>
      </c>
      <c r="E71" s="2"/>
      <c r="F71" s="6">
        <f t="shared" si="20"/>
        <v>7.9841972868488362E-2</v>
      </c>
      <c r="G71" s="2"/>
      <c r="H71" s="7">
        <v>45566.923634946099</v>
      </c>
      <c r="I71" s="2"/>
      <c r="J71" s="6">
        <f t="shared" si="21"/>
        <v>4.3033783030631031E-2</v>
      </c>
      <c r="K71" s="2"/>
      <c r="L71" s="7">
        <f t="shared" si="22"/>
        <v>15058.096365053898</v>
      </c>
      <c r="M71" s="2"/>
      <c r="N71" s="6">
        <f t="shared" si="23"/>
        <v>0.33046111441909087</v>
      </c>
      <c r="O71" s="11"/>
      <c r="P71" s="7">
        <v>194005.39</v>
      </c>
      <c r="Q71" s="2"/>
      <c r="R71" s="6">
        <f t="shared" si="24"/>
        <v>6.6184413124265137E-2</v>
      </c>
      <c r="S71" s="2"/>
      <c r="T71" s="7">
        <v>155441.65085203701</v>
      </c>
      <c r="U71" s="2"/>
      <c r="V71" s="6">
        <f t="shared" si="25"/>
        <v>3.249042862539335E-2</v>
      </c>
      <c r="W71" s="2"/>
      <c r="X71" s="7">
        <f t="shared" si="26"/>
        <v>38563.739147963002</v>
      </c>
      <c r="Y71" s="2"/>
      <c r="Z71" s="6">
        <f t="shared" si="27"/>
        <v>0.24809141524539874</v>
      </c>
    </row>
    <row r="72" spans="1:26" s="24" customFormat="1" hidden="1" outlineLevel="2" x14ac:dyDescent="0.25">
      <c r="A72" s="29"/>
      <c r="B72" s="11" t="str">
        <f>CONCATENATE("          ", "6003", " - ", "STAFF HOURLY-9 MONTH")</f>
        <v xml:space="preserve">          6003 - STAFF HOURLY-9 MONTH</v>
      </c>
      <c r="C72" s="11"/>
      <c r="D72" s="7"/>
      <c r="E72" s="2"/>
      <c r="F72" s="6">
        <f t="shared" si="20"/>
        <v>0</v>
      </c>
      <c r="G72" s="2"/>
      <c r="H72" s="7">
        <v>0</v>
      </c>
      <c r="I72" s="2"/>
      <c r="J72" s="6">
        <f t="shared" si="21"/>
        <v>0</v>
      </c>
      <c r="K72" s="2"/>
      <c r="L72" s="7">
        <f t="shared" si="22"/>
        <v>0</v>
      </c>
      <c r="M72" s="2"/>
      <c r="N72" s="6">
        <f t="shared" si="23"/>
        <v>0</v>
      </c>
      <c r="O72" s="11"/>
      <c r="P72" s="7"/>
      <c r="Q72" s="2"/>
      <c r="R72" s="6">
        <f t="shared" si="24"/>
        <v>0</v>
      </c>
      <c r="S72" s="2"/>
      <c r="T72" s="7">
        <v>0</v>
      </c>
      <c r="U72" s="2"/>
      <c r="V72" s="6">
        <f t="shared" si="25"/>
        <v>0</v>
      </c>
      <c r="W72" s="2"/>
      <c r="X72" s="7">
        <f t="shared" si="26"/>
        <v>0</v>
      </c>
      <c r="Y72" s="2"/>
      <c r="Z72" s="6">
        <f t="shared" si="27"/>
        <v>0</v>
      </c>
    </row>
    <row r="73" spans="1:26" s="24" customFormat="1" hidden="1" outlineLevel="2" x14ac:dyDescent="0.25">
      <c r="A73" s="29"/>
      <c r="B73" s="11" t="str">
        <f>CONCATENATE("          ", "6004", " - ", "STAFF HOURLY")</f>
        <v xml:space="preserve">          6004 - STAFF HOURLY</v>
      </c>
      <c r="C73" s="11"/>
      <c r="D73" s="7">
        <v>25738.89</v>
      </c>
      <c r="E73" s="2"/>
      <c r="F73" s="6">
        <f t="shared" si="20"/>
        <v>3.3897617799466394E-2</v>
      </c>
      <c r="G73" s="2"/>
      <c r="H73" s="7">
        <v>36942.734768000002</v>
      </c>
      <c r="I73" s="2"/>
      <c r="J73" s="6">
        <f t="shared" si="21"/>
        <v>3.4889027078076132E-2</v>
      </c>
      <c r="K73" s="2"/>
      <c r="L73" s="7">
        <f t="shared" si="22"/>
        <v>-11203.844768000003</v>
      </c>
      <c r="M73" s="2"/>
      <c r="N73" s="6">
        <f t="shared" si="23"/>
        <v>-0.30327599833526225</v>
      </c>
      <c r="O73" s="11"/>
      <c r="P73" s="7">
        <v>65221.919999999998</v>
      </c>
      <c r="Q73" s="2"/>
      <c r="R73" s="6">
        <f t="shared" si="24"/>
        <v>2.2250281283616759E-2</v>
      </c>
      <c r="S73" s="2"/>
      <c r="T73" s="7">
        <v>120063.887996</v>
      </c>
      <c r="U73" s="2"/>
      <c r="V73" s="6">
        <f t="shared" si="25"/>
        <v>2.5095765272941575E-2</v>
      </c>
      <c r="W73" s="2"/>
      <c r="X73" s="7">
        <f t="shared" si="26"/>
        <v>-54841.967996000007</v>
      </c>
      <c r="Y73" s="2"/>
      <c r="Z73" s="6">
        <f t="shared" si="27"/>
        <v>-0.45677321392279996</v>
      </c>
    </row>
    <row r="74" spans="1:26" s="24" customFormat="1" hidden="1" outlineLevel="2" x14ac:dyDescent="0.25">
      <c r="A74" s="29"/>
      <c r="B74" s="11" t="str">
        <f>CONCATENATE("          ", "6005", " - ", "TEMPORARY WAGES-HOURLY")</f>
        <v xml:space="preserve">          6005 - TEMPORARY WAGES-HOURLY</v>
      </c>
      <c r="C74" s="11"/>
      <c r="D74" s="7">
        <v>10113.4</v>
      </c>
      <c r="E74" s="2"/>
      <c r="F74" s="6">
        <f t="shared" si="20"/>
        <v>1.3319151208662202E-2</v>
      </c>
      <c r="G74" s="2"/>
      <c r="H74" s="7">
        <v>3455</v>
      </c>
      <c r="I74" s="2"/>
      <c r="J74" s="6">
        <f t="shared" si="21"/>
        <v>3.2629308390879283E-3</v>
      </c>
      <c r="K74" s="2"/>
      <c r="L74" s="7">
        <f t="shared" si="22"/>
        <v>6658.4</v>
      </c>
      <c r="M74" s="2"/>
      <c r="N74" s="6">
        <f t="shared" si="23"/>
        <v>1.9271780028943559</v>
      </c>
      <c r="O74" s="11"/>
      <c r="P74" s="7">
        <v>29183.99</v>
      </c>
      <c r="Q74" s="2"/>
      <c r="R74" s="6">
        <f t="shared" si="24"/>
        <v>9.9560391119773647E-3</v>
      </c>
      <c r="S74" s="2"/>
      <c r="T74" s="7">
        <v>11646</v>
      </c>
      <c r="U74" s="2"/>
      <c r="V74" s="6">
        <f t="shared" si="25"/>
        <v>2.4342480261709881E-3</v>
      </c>
      <c r="W74" s="2"/>
      <c r="X74" s="7">
        <f t="shared" si="26"/>
        <v>17537.990000000002</v>
      </c>
      <c r="Y74" s="2"/>
      <c r="Z74" s="6">
        <f t="shared" si="27"/>
        <v>1.505923922376782</v>
      </c>
    </row>
    <row r="75" spans="1:26" s="24" customFormat="1" hidden="1" outlineLevel="2" x14ac:dyDescent="0.25">
      <c r="A75" s="29"/>
      <c r="B75" s="11" t="str">
        <f>CONCATENATE("          ", "6006", " - ", "TEMPORARY PART TIME")</f>
        <v xml:space="preserve">          6006 - TEMPORARY PART TIME</v>
      </c>
      <c r="C75" s="11"/>
      <c r="D75" s="7">
        <v>2957.46</v>
      </c>
      <c r="E75" s="2"/>
      <c r="F75" s="6">
        <f t="shared" si="20"/>
        <v>3.8949173308254511E-3</v>
      </c>
      <c r="G75" s="2"/>
      <c r="H75" s="7">
        <v>0</v>
      </c>
      <c r="I75" s="2"/>
      <c r="J75" s="6">
        <f t="shared" si="21"/>
        <v>0</v>
      </c>
      <c r="K75" s="2"/>
      <c r="L75" s="7">
        <f t="shared" si="22"/>
        <v>2957.46</v>
      </c>
      <c r="M75" s="2"/>
      <c r="N75" s="6">
        <f t="shared" si="23"/>
        <v>0</v>
      </c>
      <c r="O75" s="11"/>
      <c r="P75" s="7">
        <v>9095.65</v>
      </c>
      <c r="Q75" s="2"/>
      <c r="R75" s="6">
        <f t="shared" si="24"/>
        <v>3.1029563520566213E-3</v>
      </c>
      <c r="S75" s="2"/>
      <c r="T75" s="7">
        <v>0</v>
      </c>
      <c r="U75" s="2"/>
      <c r="V75" s="6">
        <f t="shared" si="25"/>
        <v>0</v>
      </c>
      <c r="W75" s="2"/>
      <c r="X75" s="7">
        <f t="shared" si="26"/>
        <v>9095.65</v>
      </c>
      <c r="Y75" s="2"/>
      <c r="Z75" s="6">
        <f t="shared" si="27"/>
        <v>0</v>
      </c>
    </row>
    <row r="76" spans="1:26" s="24" customFormat="1" hidden="1" outlineLevel="2" x14ac:dyDescent="0.25">
      <c r="A76" s="29"/>
      <c r="B76" s="11" t="str">
        <f>CONCATENATE("          ", "6007", " - ", "STUDENT HOURLY")</f>
        <v xml:space="preserve">          6007 - STUDENT HOURLY</v>
      </c>
      <c r="C76" s="11"/>
      <c r="D76" s="7">
        <v>53703.839999999997</v>
      </c>
      <c r="E76" s="2"/>
      <c r="F76" s="6">
        <f t="shared" si="20"/>
        <v>7.0726913347222642E-2</v>
      </c>
      <c r="G76" s="2"/>
      <c r="H76" s="7">
        <v>28753.599999999999</v>
      </c>
      <c r="I76" s="2"/>
      <c r="J76" s="6">
        <f t="shared" si="21"/>
        <v>2.7155139847988032E-2</v>
      </c>
      <c r="K76" s="2"/>
      <c r="L76" s="7">
        <f t="shared" si="22"/>
        <v>24950.239999999998</v>
      </c>
      <c r="M76" s="2"/>
      <c r="N76" s="6">
        <f t="shared" si="23"/>
        <v>0.86772578042401649</v>
      </c>
      <c r="O76" s="11"/>
      <c r="P76" s="7">
        <v>193074.04</v>
      </c>
      <c r="Q76" s="2"/>
      <c r="R76" s="6">
        <f t="shared" si="24"/>
        <v>6.5866685595337801E-2</v>
      </c>
      <c r="S76" s="2"/>
      <c r="T76" s="7">
        <v>133249.88</v>
      </c>
      <c r="U76" s="2"/>
      <c r="V76" s="6">
        <f t="shared" si="25"/>
        <v>2.785190257406157E-2</v>
      </c>
      <c r="W76" s="2"/>
      <c r="X76" s="7">
        <f t="shared" si="26"/>
        <v>59824.160000000003</v>
      </c>
      <c r="Y76" s="2"/>
      <c r="Z76" s="6">
        <f t="shared" si="27"/>
        <v>0.44896220544438764</v>
      </c>
    </row>
    <row r="77" spans="1:26" s="24" customFormat="1" hidden="1" outlineLevel="2" x14ac:dyDescent="0.25">
      <c r="A77" s="29"/>
      <c r="B77" s="11" t="str">
        <f>CONCATENATE("          ", "6008", " - ", "STUDENT HOURLY-FICA EXEMPT")</f>
        <v xml:space="preserve">          6008 - STUDENT HOURLY-FICA EXEMPT</v>
      </c>
      <c r="C77" s="11"/>
      <c r="D77" s="7">
        <v>10802.76</v>
      </c>
      <c r="E77" s="2"/>
      <c r="F77" s="6">
        <f t="shared" si="20"/>
        <v>1.4227024928400705E-2</v>
      </c>
      <c r="G77" s="2"/>
      <c r="H77" s="7">
        <v>57968.41</v>
      </c>
      <c r="I77" s="2"/>
      <c r="J77" s="6">
        <f t="shared" si="21"/>
        <v>5.4745850269723027E-2</v>
      </c>
      <c r="K77" s="2"/>
      <c r="L77" s="7">
        <f t="shared" si="22"/>
        <v>-47165.65</v>
      </c>
      <c r="M77" s="2"/>
      <c r="N77" s="6">
        <f t="shared" si="23"/>
        <v>-0.81364401749159587</v>
      </c>
      <c r="O77" s="11"/>
      <c r="P77" s="7">
        <v>36023.96</v>
      </c>
      <c r="Q77" s="2"/>
      <c r="R77" s="6">
        <f t="shared" si="24"/>
        <v>1.2289476343992309E-2</v>
      </c>
      <c r="S77" s="2"/>
      <c r="T77" s="7">
        <v>166254.095</v>
      </c>
      <c r="U77" s="2"/>
      <c r="V77" s="6">
        <f t="shared" si="25"/>
        <v>3.4750446728197999E-2</v>
      </c>
      <c r="W77" s="2"/>
      <c r="X77" s="7">
        <f t="shared" si="26"/>
        <v>-130230.13500000001</v>
      </c>
      <c r="Y77" s="2"/>
      <c r="Z77" s="6">
        <f t="shared" si="27"/>
        <v>-0.7833198634896783</v>
      </c>
    </row>
    <row r="78" spans="1:26" s="24" customFormat="1" hidden="1" outlineLevel="2" x14ac:dyDescent="0.25">
      <c r="A78" s="29"/>
      <c r="B78" s="11" t="str">
        <f>CONCATENATE("          ", "6009", " - ", "TEMPORARY-SEASONAL")</f>
        <v xml:space="preserve">          6009 - TEMPORARY-SEASONAL</v>
      </c>
      <c r="C78" s="11"/>
      <c r="D78" s="7"/>
      <c r="E78" s="2"/>
      <c r="F78" s="6">
        <f t="shared" si="20"/>
        <v>0</v>
      </c>
      <c r="G78" s="2"/>
      <c r="H78" s="7">
        <v>0</v>
      </c>
      <c r="I78" s="2"/>
      <c r="J78" s="6">
        <f t="shared" si="21"/>
        <v>0</v>
      </c>
      <c r="K78" s="2"/>
      <c r="L78" s="7">
        <f t="shared" si="22"/>
        <v>0</v>
      </c>
      <c r="M78" s="2"/>
      <c r="N78" s="6">
        <f t="shared" si="23"/>
        <v>0</v>
      </c>
      <c r="O78" s="11"/>
      <c r="P78" s="7"/>
      <c r="Q78" s="2"/>
      <c r="R78" s="6">
        <f t="shared" si="24"/>
        <v>0</v>
      </c>
      <c r="S78" s="2"/>
      <c r="T78" s="7">
        <v>0</v>
      </c>
      <c r="U78" s="2"/>
      <c r="V78" s="6">
        <f t="shared" si="25"/>
        <v>0</v>
      </c>
      <c r="W78" s="2"/>
      <c r="X78" s="7">
        <f t="shared" si="26"/>
        <v>0</v>
      </c>
      <c r="Y78" s="2"/>
      <c r="Z78" s="6">
        <f t="shared" si="27"/>
        <v>0</v>
      </c>
    </row>
    <row r="79" spans="1:26" s="24" customFormat="1" hidden="1" outlineLevel="2" x14ac:dyDescent="0.25">
      <c r="A79" s="29"/>
      <c r="B79" s="11" t="str">
        <f>CONCATENATE("          ", "6010", " - ", "GRATUITY")</f>
        <v xml:space="preserve">          6010 - GRATUITY</v>
      </c>
      <c r="C79" s="11"/>
      <c r="D79" s="7"/>
      <c r="E79" s="2"/>
      <c r="F79" s="6">
        <f t="shared" si="20"/>
        <v>0</v>
      </c>
      <c r="G79" s="2"/>
      <c r="H79" s="7">
        <v>0</v>
      </c>
      <c r="I79" s="2"/>
      <c r="J79" s="6">
        <f t="shared" si="21"/>
        <v>0</v>
      </c>
      <c r="K79" s="2"/>
      <c r="L79" s="7">
        <f t="shared" si="22"/>
        <v>0</v>
      </c>
      <c r="M79" s="2"/>
      <c r="N79" s="6">
        <f t="shared" si="23"/>
        <v>0</v>
      </c>
      <c r="O79" s="11"/>
      <c r="P79" s="7"/>
      <c r="Q79" s="2"/>
      <c r="R79" s="6">
        <f t="shared" si="24"/>
        <v>0</v>
      </c>
      <c r="S79" s="2"/>
      <c r="T79" s="7">
        <v>0</v>
      </c>
      <c r="U79" s="2"/>
      <c r="V79" s="6">
        <f t="shared" si="25"/>
        <v>0</v>
      </c>
      <c r="W79" s="2"/>
      <c r="X79" s="7">
        <f t="shared" si="26"/>
        <v>0</v>
      </c>
      <c r="Y79" s="2"/>
      <c r="Z79" s="6">
        <f t="shared" si="27"/>
        <v>0</v>
      </c>
    </row>
    <row r="80" spans="1:26" s="28" customFormat="1" outlineLevel="1" collapsed="1" x14ac:dyDescent="0.25">
      <c r="A80" s="27"/>
      <c r="B80" s="14" t="str">
        <f>CONCATENATE("     ","Advertising/Promo                                 ")</f>
        <v xml:space="preserve">     Advertising/Promo                                 </v>
      </c>
      <c r="C80" s="14"/>
      <c r="D80" s="1">
        <f>SUM(OSRRefD22_2x_0)</f>
        <v>183.03</v>
      </c>
      <c r="E80" s="1"/>
      <c r="F80" s="5">
        <f t="shared" ref="F80:F88" si="28">IF(D$12=0,0,D80/D$12)</f>
        <v>2.4104695213493412E-4</v>
      </c>
      <c r="G80" s="1"/>
      <c r="H80" s="1">
        <f>SUM(OSRRefH22_2x_0)</f>
        <v>500</v>
      </c>
      <c r="I80" s="1"/>
      <c r="J80" s="5">
        <f t="shared" ref="J80:J88" si="29">IF(H$12=0,0,H80/H$12)</f>
        <v>4.722041735293673E-4</v>
      </c>
      <c r="K80" s="1"/>
      <c r="L80" s="1">
        <f t="shared" ref="L80:L88" si="30">+D80-H80</f>
        <v>-316.97000000000003</v>
      </c>
      <c r="M80" s="1"/>
      <c r="N80" s="5">
        <f t="shared" ref="N80:N88" si="31">IF(H80=0,0,L80/H80)</f>
        <v>-0.63394000000000006</v>
      </c>
      <c r="O80" s="14"/>
      <c r="P80" s="1">
        <f>SUM(OSRRefP22_2x_0)</f>
        <v>2304.2399999999998</v>
      </c>
      <c r="Q80" s="1"/>
      <c r="R80" s="5">
        <f t="shared" ref="R80:R88" si="32">IF(P$12=0,0,P80/P$12)</f>
        <v>7.8608523246419422E-4</v>
      </c>
      <c r="S80" s="1"/>
      <c r="T80" s="1">
        <f>SUM(OSRRefT22_2x_0)</f>
        <v>4500</v>
      </c>
      <c r="U80" s="1"/>
      <c r="V80" s="5">
        <f t="shared" ref="V80:V88" si="33">IF(T$12=0,0,T80/T$12)</f>
        <v>9.4059042742310206E-4</v>
      </c>
      <c r="W80" s="1"/>
      <c r="X80" s="1">
        <f t="shared" ref="X80:X88" si="34">+P80-T80</f>
        <v>-2195.7600000000002</v>
      </c>
      <c r="Y80" s="1"/>
      <c r="Z80" s="5">
        <f t="shared" ref="Z80:Z88" si="35">IF(T80=0,0,X80/T80)</f>
        <v>-0.4879466666666667</v>
      </c>
    </row>
    <row r="81" spans="1:26" s="24" customFormat="1" hidden="1" outlineLevel="2" x14ac:dyDescent="0.25">
      <c r="A81" s="29"/>
      <c r="B81" s="11" t="str">
        <f>CONCATENATE("          ", "6362", " - ", "ADVERTISING EXPENSE")</f>
        <v xml:space="preserve">          6362 - ADVERTISING EXPENSE</v>
      </c>
      <c r="C81" s="11"/>
      <c r="D81" s="7">
        <v>183.03</v>
      </c>
      <c r="E81" s="2"/>
      <c r="F81" s="6">
        <f t="shared" si="28"/>
        <v>2.4104695213493412E-4</v>
      </c>
      <c r="G81" s="2"/>
      <c r="H81" s="7">
        <v>500</v>
      </c>
      <c r="I81" s="2"/>
      <c r="J81" s="6">
        <f t="shared" si="29"/>
        <v>4.722041735293673E-4</v>
      </c>
      <c r="K81" s="2"/>
      <c r="L81" s="7">
        <f t="shared" si="30"/>
        <v>-316.97000000000003</v>
      </c>
      <c r="M81" s="2"/>
      <c r="N81" s="6">
        <f t="shared" si="31"/>
        <v>-0.63394000000000006</v>
      </c>
      <c r="O81" s="11"/>
      <c r="P81" s="7">
        <v>2304.2399999999998</v>
      </c>
      <c r="Q81" s="2"/>
      <c r="R81" s="6">
        <f t="shared" si="32"/>
        <v>7.8608523246419422E-4</v>
      </c>
      <c r="S81" s="2"/>
      <c r="T81" s="7">
        <v>4500</v>
      </c>
      <c r="U81" s="2"/>
      <c r="V81" s="6">
        <f t="shared" si="33"/>
        <v>9.4059042742310206E-4</v>
      </c>
      <c r="W81" s="2"/>
      <c r="X81" s="7">
        <f t="shared" si="34"/>
        <v>-2195.7600000000002</v>
      </c>
      <c r="Y81" s="2"/>
      <c r="Z81" s="6">
        <f t="shared" si="35"/>
        <v>-0.4879466666666667</v>
      </c>
    </row>
    <row r="82" spans="1:26" s="28" customFormat="1" outlineLevel="1" collapsed="1" x14ac:dyDescent="0.25">
      <c r="A82" s="27"/>
      <c r="B82" s="14" t="str">
        <f>CONCATENATE("     ","Bad Debts/Over/Short                              ")</f>
        <v xml:space="preserve">     Bad Debts/Over/Short                              </v>
      </c>
      <c r="C82" s="14"/>
      <c r="D82" s="1">
        <f>SUM(OSRRefD22_3x_0)</f>
        <v>96.88</v>
      </c>
      <c r="E82" s="1"/>
      <c r="F82" s="5">
        <f t="shared" si="28"/>
        <v>1.2758907677884728E-4</v>
      </c>
      <c r="G82" s="1"/>
      <c r="H82" s="1">
        <f>SUM(OSRRefH22_3x_0)</f>
        <v>235</v>
      </c>
      <c r="I82" s="1"/>
      <c r="J82" s="5">
        <f t="shared" si="29"/>
        <v>2.2193596155880264E-4</v>
      </c>
      <c r="K82" s="1"/>
      <c r="L82" s="1">
        <f t="shared" si="30"/>
        <v>-138.12</v>
      </c>
      <c r="M82" s="1"/>
      <c r="N82" s="5">
        <f t="shared" si="31"/>
        <v>-0.58774468085106379</v>
      </c>
      <c r="O82" s="14"/>
      <c r="P82" s="1">
        <f>SUM(OSRRefP22_3x_0)</f>
        <v>248.91</v>
      </c>
      <c r="Q82" s="1"/>
      <c r="R82" s="5">
        <f t="shared" si="32"/>
        <v>8.4914972057017758E-5</v>
      </c>
      <c r="S82" s="1"/>
      <c r="T82" s="1">
        <f>SUM(OSRRefT22_3x_0)</f>
        <v>705</v>
      </c>
      <c r="U82" s="1"/>
      <c r="V82" s="5">
        <f t="shared" si="33"/>
        <v>1.4735916696295264E-4</v>
      </c>
      <c r="W82" s="1"/>
      <c r="X82" s="1">
        <f t="shared" si="34"/>
        <v>-456.09000000000003</v>
      </c>
      <c r="Y82" s="1"/>
      <c r="Z82" s="5">
        <f t="shared" si="35"/>
        <v>-0.64693617021276595</v>
      </c>
    </row>
    <row r="83" spans="1:26" s="24" customFormat="1" hidden="1" outlineLevel="2" x14ac:dyDescent="0.25">
      <c r="A83" s="29"/>
      <c r="B83" s="11" t="str">
        <f>CONCATENATE("          ", "6272", " - ", "CASH (OVER/SHORT)")</f>
        <v xml:space="preserve">          6272 - CASH (OVER/SHORT)</v>
      </c>
      <c r="C83" s="11"/>
      <c r="D83" s="7">
        <v>96.88</v>
      </c>
      <c r="E83" s="2"/>
      <c r="F83" s="6">
        <f t="shared" si="28"/>
        <v>1.2758907677884728E-4</v>
      </c>
      <c r="G83" s="2"/>
      <c r="H83" s="7">
        <v>235</v>
      </c>
      <c r="I83" s="2"/>
      <c r="J83" s="6">
        <f t="shared" si="29"/>
        <v>2.2193596155880264E-4</v>
      </c>
      <c r="K83" s="2"/>
      <c r="L83" s="7">
        <f t="shared" si="30"/>
        <v>-138.12</v>
      </c>
      <c r="M83" s="2"/>
      <c r="N83" s="6">
        <f t="shared" si="31"/>
        <v>-0.58774468085106379</v>
      </c>
      <c r="O83" s="11"/>
      <c r="P83" s="7">
        <v>248.91</v>
      </c>
      <c r="Q83" s="2"/>
      <c r="R83" s="6">
        <f t="shared" si="32"/>
        <v>8.4914972057017758E-5</v>
      </c>
      <c r="S83" s="2"/>
      <c r="T83" s="7">
        <v>705</v>
      </c>
      <c r="U83" s="2"/>
      <c r="V83" s="6">
        <f t="shared" si="33"/>
        <v>1.4735916696295264E-4</v>
      </c>
      <c r="W83" s="2"/>
      <c r="X83" s="7">
        <f t="shared" si="34"/>
        <v>-456.09000000000003</v>
      </c>
      <c r="Y83" s="2"/>
      <c r="Z83" s="6">
        <f t="shared" si="35"/>
        <v>-0.64693617021276595</v>
      </c>
    </row>
    <row r="84" spans="1:26" s="28" customFormat="1" outlineLevel="1" collapsed="1" x14ac:dyDescent="0.25">
      <c r="A84" s="27"/>
      <c r="B84" s="14" t="str">
        <f>CONCATENATE("     ","Bank/card Fees                                    ")</f>
        <v xml:space="preserve">     Bank/card Fees                                    </v>
      </c>
      <c r="C84" s="14"/>
      <c r="D84" s="1">
        <f>SUM(OSRRefD22_4x_0)</f>
        <v>10623.99</v>
      </c>
      <c r="E84" s="1"/>
      <c r="F84" s="5">
        <f t="shared" si="28"/>
        <v>1.3991588313456912E-2</v>
      </c>
      <c r="G84" s="1"/>
      <c r="H84" s="1">
        <f>SUM(OSRRefH22_4x_0)</f>
        <v>16839</v>
      </c>
      <c r="I84" s="1"/>
      <c r="J84" s="5">
        <f t="shared" si="29"/>
        <v>1.5902892156122034E-2</v>
      </c>
      <c r="K84" s="1"/>
      <c r="L84" s="1">
        <f t="shared" si="30"/>
        <v>-6215.01</v>
      </c>
      <c r="M84" s="1"/>
      <c r="N84" s="5">
        <f t="shared" si="31"/>
        <v>-0.36908426866203459</v>
      </c>
      <c r="O84" s="14"/>
      <c r="P84" s="1">
        <f>SUM(OSRRefP22_4x_0)</f>
        <v>37588.69</v>
      </c>
      <c r="Q84" s="1"/>
      <c r="R84" s="5">
        <f t="shared" si="32"/>
        <v>1.2823279743722242E-2</v>
      </c>
      <c r="S84" s="1"/>
      <c r="T84" s="1">
        <f>SUM(OSRRefT22_4x_0)</f>
        <v>76595</v>
      </c>
      <c r="U84" s="1"/>
      <c r="V84" s="5">
        <f t="shared" si="33"/>
        <v>1.6009894175216113E-2</v>
      </c>
      <c r="W84" s="1"/>
      <c r="X84" s="1">
        <f t="shared" si="34"/>
        <v>-39006.31</v>
      </c>
      <c r="Y84" s="1"/>
      <c r="Z84" s="5">
        <f t="shared" si="35"/>
        <v>-0.5092539983027613</v>
      </c>
    </row>
    <row r="85" spans="1:26" s="24" customFormat="1" hidden="1" outlineLevel="2" x14ac:dyDescent="0.25">
      <c r="A85" s="29"/>
      <c r="B85" s="11" t="str">
        <f>CONCATENATE("          ", "6381", " - ", "BANK/CREDIT CARD FEES")</f>
        <v xml:space="preserve">          6381 - BANK/CREDIT CARD FEES</v>
      </c>
      <c r="C85" s="11"/>
      <c r="D85" s="7">
        <v>10623.99</v>
      </c>
      <c r="E85" s="2"/>
      <c r="F85" s="6">
        <f t="shared" si="28"/>
        <v>1.3991588313456912E-2</v>
      </c>
      <c r="G85" s="2"/>
      <c r="H85" s="7">
        <v>16839</v>
      </c>
      <c r="I85" s="2"/>
      <c r="J85" s="6">
        <f t="shared" si="29"/>
        <v>1.5902892156122034E-2</v>
      </c>
      <c r="K85" s="2"/>
      <c r="L85" s="7">
        <f t="shared" si="30"/>
        <v>-6215.01</v>
      </c>
      <c r="M85" s="2"/>
      <c r="N85" s="6">
        <f t="shared" si="31"/>
        <v>-0.36908426866203459</v>
      </c>
      <c r="O85" s="11"/>
      <c r="P85" s="7">
        <v>37588.69</v>
      </c>
      <c r="Q85" s="2"/>
      <c r="R85" s="6">
        <f t="shared" si="32"/>
        <v>1.2823279743722242E-2</v>
      </c>
      <c r="S85" s="2"/>
      <c r="T85" s="7">
        <v>76595</v>
      </c>
      <c r="U85" s="2"/>
      <c r="V85" s="6">
        <f t="shared" si="33"/>
        <v>1.6009894175216113E-2</v>
      </c>
      <c r="W85" s="2"/>
      <c r="X85" s="7">
        <f t="shared" si="34"/>
        <v>-39006.31</v>
      </c>
      <c r="Y85" s="2"/>
      <c r="Z85" s="6">
        <f t="shared" si="35"/>
        <v>-0.5092539983027613</v>
      </c>
    </row>
    <row r="86" spans="1:26" s="28" customFormat="1" outlineLevel="1" collapsed="1" x14ac:dyDescent="0.25">
      <c r="A86" s="27"/>
      <c r="B86" s="14" t="str">
        <f>CONCATENATE("     ","Depreciation                                      ")</f>
        <v xml:space="preserve">     Depreciation                                      </v>
      </c>
      <c r="C86" s="14"/>
      <c r="D86" s="1">
        <f>SUM(OSRRefD22_5x_0)</f>
        <v>31001.120000000003</v>
      </c>
      <c r="E86" s="1"/>
      <c r="F86" s="5">
        <f t="shared" si="28"/>
        <v>4.0827872418561707E-2</v>
      </c>
      <c r="G86" s="1"/>
      <c r="H86" s="1">
        <f>SUM(OSRRefH22_5x_0)</f>
        <v>30599</v>
      </c>
      <c r="I86" s="1"/>
      <c r="J86" s="5">
        <f t="shared" si="29"/>
        <v>2.8897951011650221E-2</v>
      </c>
      <c r="K86" s="1"/>
      <c r="L86" s="1">
        <f t="shared" si="30"/>
        <v>402.12000000000262</v>
      </c>
      <c r="M86" s="1"/>
      <c r="N86" s="5">
        <f t="shared" si="31"/>
        <v>1.3141605934834558E-2</v>
      </c>
      <c r="O86" s="14"/>
      <c r="P86" s="1">
        <f>SUM(OSRRefP22_5x_0)</f>
        <v>93003.36</v>
      </c>
      <c r="Q86" s="1"/>
      <c r="R86" s="5">
        <f t="shared" si="32"/>
        <v>3.172784426342358E-2</v>
      </c>
      <c r="S86" s="1"/>
      <c r="T86" s="1">
        <f>SUM(OSRRefT22_5x_0)</f>
        <v>91799</v>
      </c>
      <c r="U86" s="1"/>
      <c r="V86" s="5">
        <f t="shared" si="33"/>
        <v>1.9187835699336298E-2</v>
      </c>
      <c r="W86" s="1"/>
      <c r="X86" s="1">
        <f t="shared" si="34"/>
        <v>1204.3600000000006</v>
      </c>
      <c r="Y86" s="1"/>
      <c r="Z86" s="5">
        <f t="shared" si="35"/>
        <v>1.3119532892515176E-2</v>
      </c>
    </row>
    <row r="87" spans="1:26" s="24" customFormat="1" hidden="1" outlineLevel="2" x14ac:dyDescent="0.25">
      <c r="A87" s="29"/>
      <c r="B87" s="11" t="str">
        <f>CONCATENATE("          ", "6321", " - ", "BUILDING DEPRECIATION")</f>
        <v xml:space="preserve">          6321 - BUILDING DEPRECIATION</v>
      </c>
      <c r="C87" s="11"/>
      <c r="D87" s="7">
        <v>16396.52</v>
      </c>
      <c r="E87" s="2"/>
      <c r="F87" s="6">
        <f t="shared" si="28"/>
        <v>2.1593898112984157E-2</v>
      </c>
      <c r="G87" s="2"/>
      <c r="H87" s="7"/>
      <c r="I87" s="2"/>
      <c r="J87" s="6">
        <f t="shared" si="29"/>
        <v>0</v>
      </c>
      <c r="K87" s="2"/>
      <c r="L87" s="7">
        <f t="shared" si="30"/>
        <v>16396.52</v>
      </c>
      <c r="M87" s="2"/>
      <c r="N87" s="6">
        <f t="shared" si="31"/>
        <v>0</v>
      </c>
      <c r="O87" s="11"/>
      <c r="P87" s="7">
        <v>49189.56</v>
      </c>
      <c r="Q87" s="2"/>
      <c r="R87" s="6">
        <f t="shared" si="32"/>
        <v>1.6780885110670517E-2</v>
      </c>
      <c r="S87" s="2"/>
      <c r="T87" s="7"/>
      <c r="U87" s="2"/>
      <c r="V87" s="6">
        <f t="shared" si="33"/>
        <v>0</v>
      </c>
      <c r="W87" s="2"/>
      <c r="X87" s="7">
        <f t="shared" si="34"/>
        <v>49189.56</v>
      </c>
      <c r="Y87" s="2"/>
      <c r="Z87" s="6">
        <f t="shared" si="35"/>
        <v>0</v>
      </c>
    </row>
    <row r="88" spans="1:26" s="24" customFormat="1" hidden="1" outlineLevel="2" x14ac:dyDescent="0.25">
      <c r="A88" s="29"/>
      <c r="B88" s="11" t="str">
        <f>CONCATENATE("          ", "6322", " - ", "EQUIPMENT DEPRECIATION EXPENSE")</f>
        <v xml:space="preserve">          6322 - EQUIPMENT DEPRECIATION EXPENSE</v>
      </c>
      <c r="C88" s="11"/>
      <c r="D88" s="7">
        <v>14604.6</v>
      </c>
      <c r="E88" s="2"/>
      <c r="F88" s="6">
        <f t="shared" si="28"/>
        <v>1.923397430557755E-2</v>
      </c>
      <c r="G88" s="2"/>
      <c r="H88" s="7">
        <v>30599</v>
      </c>
      <c r="I88" s="2"/>
      <c r="J88" s="6">
        <f t="shared" si="29"/>
        <v>2.8897951011650221E-2</v>
      </c>
      <c r="K88" s="2"/>
      <c r="L88" s="7">
        <f t="shared" si="30"/>
        <v>-15994.4</v>
      </c>
      <c r="M88" s="2"/>
      <c r="N88" s="6">
        <f t="shared" si="31"/>
        <v>-0.52270989248014643</v>
      </c>
      <c r="O88" s="11"/>
      <c r="P88" s="7">
        <v>43813.8</v>
      </c>
      <c r="Q88" s="2"/>
      <c r="R88" s="6">
        <f t="shared" si="32"/>
        <v>1.4946959152753065E-2</v>
      </c>
      <c r="S88" s="2"/>
      <c r="T88" s="7">
        <v>91799</v>
      </c>
      <c r="U88" s="2"/>
      <c r="V88" s="6">
        <f t="shared" si="33"/>
        <v>1.9187835699336298E-2</v>
      </c>
      <c r="W88" s="2"/>
      <c r="X88" s="7">
        <f t="shared" si="34"/>
        <v>-47985.2</v>
      </c>
      <c r="Y88" s="2"/>
      <c r="Z88" s="6">
        <f t="shared" si="35"/>
        <v>-0.52272029107070883</v>
      </c>
    </row>
    <row r="89" spans="1:26" s="28" customFormat="1" outlineLevel="1" collapsed="1" x14ac:dyDescent="0.25">
      <c r="A89" s="27"/>
      <c r="B89" s="14" t="str">
        <f>CONCATENATE("     ","Discounts and Markdowns                           ")</f>
        <v xml:space="preserve">     Discounts and Markdowns                           </v>
      </c>
      <c r="C89" s="14"/>
      <c r="D89" s="1">
        <f>SUM(OSRRefD22_6x_0)</f>
        <v>135.49</v>
      </c>
      <c r="E89" s="1"/>
      <c r="F89" s="5">
        <f t="shared" ref="F89:F91" si="36">IF(D$12=0,0,D89/D$12)</f>
        <v>1.7843769625068147E-4</v>
      </c>
      <c r="G89" s="1"/>
      <c r="H89" s="1">
        <f>SUM(OSRRefH22_6x_0)</f>
        <v>0</v>
      </c>
      <c r="I89" s="1"/>
      <c r="J89" s="5">
        <f t="shared" ref="J89:J91" si="37">IF(H$12=0,0,H89/H$12)</f>
        <v>0</v>
      </c>
      <c r="K89" s="1"/>
      <c r="L89" s="1">
        <f t="shared" ref="L89:L91" si="38">+D89-H89</f>
        <v>135.49</v>
      </c>
      <c r="M89" s="1"/>
      <c r="N89" s="5">
        <f t="shared" ref="N89:N91" si="39">IF(H89=0,0,L89/H89)</f>
        <v>0</v>
      </c>
      <c r="O89" s="14"/>
      <c r="P89" s="1">
        <f>SUM(OSRRefP22_6x_0)</f>
        <v>-22.49</v>
      </c>
      <c r="Q89" s="1"/>
      <c r="R89" s="5">
        <f t="shared" ref="R89:R91" si="40">IF(P$12=0,0,P89/P$12)</f>
        <v>-7.6724025614170967E-6</v>
      </c>
      <c r="S89" s="1"/>
      <c r="T89" s="1">
        <f>SUM(OSRRefT22_6x_0)</f>
        <v>0</v>
      </c>
      <c r="U89" s="1"/>
      <c r="V89" s="5">
        <f t="shared" ref="V89:V91" si="41">IF(T$12=0,0,T89/T$12)</f>
        <v>0</v>
      </c>
      <c r="W89" s="1"/>
      <c r="X89" s="1">
        <f t="shared" ref="X89:X91" si="42">+P89-T89</f>
        <v>-22.49</v>
      </c>
      <c r="Y89" s="1"/>
      <c r="Z89" s="5">
        <f t="shared" ref="Z89:Z91" si="43">IF(T89=0,0,X89/T89)</f>
        <v>0</v>
      </c>
    </row>
    <row r="90" spans="1:26" s="24" customFormat="1" hidden="1" outlineLevel="2" x14ac:dyDescent="0.25">
      <c r="A90" s="29"/>
      <c r="B90" s="11" t="str">
        <f>CONCATENATE("          ", "6382", " - ", "DISCOUNTS/MARK DOWNS")</f>
        <v xml:space="preserve">          6382 - DISCOUNTS/MARK DOWNS</v>
      </c>
      <c r="C90" s="11"/>
      <c r="D90" s="7"/>
      <c r="E90" s="2"/>
      <c r="F90" s="6">
        <f t="shared" si="36"/>
        <v>0</v>
      </c>
      <c r="G90" s="2"/>
      <c r="H90" s="7"/>
      <c r="I90" s="2"/>
      <c r="J90" s="6">
        <f t="shared" si="37"/>
        <v>0</v>
      </c>
      <c r="K90" s="2"/>
      <c r="L90" s="7">
        <f t="shared" si="38"/>
        <v>0</v>
      </c>
      <c r="M90" s="2"/>
      <c r="N90" s="6">
        <f t="shared" si="39"/>
        <v>0</v>
      </c>
      <c r="O90" s="11"/>
      <c r="P90" s="7"/>
      <c r="Q90" s="2"/>
      <c r="R90" s="6">
        <f t="shared" si="40"/>
        <v>0</v>
      </c>
      <c r="S90" s="2"/>
      <c r="T90" s="7">
        <v>0</v>
      </c>
      <c r="U90" s="2"/>
      <c r="V90" s="6">
        <f t="shared" si="41"/>
        <v>0</v>
      </c>
      <c r="W90" s="2"/>
      <c r="X90" s="7">
        <f t="shared" si="42"/>
        <v>0</v>
      </c>
      <c r="Y90" s="2"/>
      <c r="Z90" s="6">
        <f t="shared" si="43"/>
        <v>0</v>
      </c>
    </row>
    <row r="91" spans="1:26" s="24" customFormat="1" hidden="1" outlineLevel="2" x14ac:dyDescent="0.25">
      <c r="A91" s="29"/>
      <c r="B91" s="11" t="str">
        <f>CONCATENATE("          ", "9175", " - ", "EARNED DISCOUNTS")</f>
        <v xml:space="preserve">          9175 - EARNED DISCOUNTS</v>
      </c>
      <c r="C91" s="11"/>
      <c r="D91" s="7">
        <v>135.49</v>
      </c>
      <c r="E91" s="2"/>
      <c r="F91" s="6">
        <f t="shared" si="36"/>
        <v>1.7843769625068147E-4</v>
      </c>
      <c r="G91" s="2"/>
      <c r="H91" s="7"/>
      <c r="I91" s="2"/>
      <c r="J91" s="6">
        <f t="shared" si="37"/>
        <v>0</v>
      </c>
      <c r="K91" s="2"/>
      <c r="L91" s="7">
        <f t="shared" si="38"/>
        <v>135.49</v>
      </c>
      <c r="M91" s="2"/>
      <c r="N91" s="6">
        <f t="shared" si="39"/>
        <v>0</v>
      </c>
      <c r="O91" s="11"/>
      <c r="P91" s="7">
        <v>-22.49</v>
      </c>
      <c r="Q91" s="2"/>
      <c r="R91" s="6">
        <f t="shared" si="40"/>
        <v>-7.6724025614170967E-6</v>
      </c>
      <c r="S91" s="2"/>
      <c r="T91" s="7"/>
      <c r="U91" s="2"/>
      <c r="V91" s="6">
        <f t="shared" si="41"/>
        <v>0</v>
      </c>
      <c r="W91" s="2"/>
      <c r="X91" s="7">
        <f t="shared" si="42"/>
        <v>-22.49</v>
      </c>
      <c r="Y91" s="2"/>
      <c r="Z91" s="6">
        <f t="shared" si="43"/>
        <v>0</v>
      </c>
    </row>
    <row r="92" spans="1:26" s="28" customFormat="1" outlineLevel="1" collapsed="1" x14ac:dyDescent="0.25">
      <c r="A92" s="27"/>
      <c r="B92" s="14" t="str">
        <f>CONCATENATE("     ","Donations                                         ")</f>
        <v xml:space="preserve">     Donations                                         </v>
      </c>
      <c r="C92" s="14"/>
      <c r="D92" s="1">
        <f>SUM(OSRRefD22_7x_0)</f>
        <v>0</v>
      </c>
      <c r="E92" s="1"/>
      <c r="F92" s="5">
        <f t="shared" ref="F92:F100" si="44">IF(D$12=0,0,D92/D$12)</f>
        <v>0</v>
      </c>
      <c r="G92" s="1"/>
      <c r="H92" s="1">
        <f>SUM(OSRRefH22_7x_0)</f>
        <v>1250</v>
      </c>
      <c r="I92" s="1"/>
      <c r="J92" s="5">
        <f t="shared" ref="J92:J100" si="45">IF(H$12=0,0,H92/H$12)</f>
        <v>1.1805104338234182E-3</v>
      </c>
      <c r="K92" s="1"/>
      <c r="L92" s="1">
        <f t="shared" ref="L92:L100" si="46">+D92-H92</f>
        <v>-1250</v>
      </c>
      <c r="M92" s="1"/>
      <c r="N92" s="5">
        <f t="shared" ref="N92:N100" si="47">IF(H92=0,0,L92/H92)</f>
        <v>-1</v>
      </c>
      <c r="O92" s="14"/>
      <c r="P92" s="1">
        <f>SUM(OSRRefP22_7x_0)</f>
        <v>0</v>
      </c>
      <c r="Q92" s="1"/>
      <c r="R92" s="5">
        <f t="shared" ref="R92:R100" si="48">IF(P$12=0,0,P92/P$12)</f>
        <v>0</v>
      </c>
      <c r="S92" s="1"/>
      <c r="T92" s="1">
        <f>SUM(OSRRefT22_7x_0)</f>
        <v>3750</v>
      </c>
      <c r="U92" s="1"/>
      <c r="V92" s="5">
        <f t="shared" ref="V92:V100" si="49">IF(T$12=0,0,T92/T$12)</f>
        <v>7.8382535618591836E-4</v>
      </c>
      <c r="W92" s="1"/>
      <c r="X92" s="1">
        <f t="shared" ref="X92:X100" si="50">+P92-T92</f>
        <v>-3750</v>
      </c>
      <c r="Y92" s="1"/>
      <c r="Z92" s="5">
        <f t="shared" ref="Z92:Z100" si="51">IF(T92=0,0,X92/T92)</f>
        <v>-1</v>
      </c>
    </row>
    <row r="93" spans="1:26" s="24" customFormat="1" hidden="1" outlineLevel="2" x14ac:dyDescent="0.25">
      <c r="A93" s="29"/>
      <c r="B93" s="11" t="str">
        <f>CONCATENATE("          ", "6399", " - ", "DONATION-ON CAMPUS")</f>
        <v xml:space="preserve">          6399 - DONATION-ON CAMPUS</v>
      </c>
      <c r="C93" s="11"/>
      <c r="D93" s="7"/>
      <c r="E93" s="2"/>
      <c r="F93" s="6">
        <f t="shared" si="44"/>
        <v>0</v>
      </c>
      <c r="G93" s="2"/>
      <c r="H93" s="7">
        <v>1250</v>
      </c>
      <c r="I93" s="2"/>
      <c r="J93" s="6">
        <f t="shared" si="45"/>
        <v>1.1805104338234182E-3</v>
      </c>
      <c r="K93" s="2"/>
      <c r="L93" s="7">
        <f t="shared" si="46"/>
        <v>-1250</v>
      </c>
      <c r="M93" s="2"/>
      <c r="N93" s="6">
        <f t="shared" si="47"/>
        <v>-1</v>
      </c>
      <c r="O93" s="11"/>
      <c r="P93" s="7"/>
      <c r="Q93" s="2"/>
      <c r="R93" s="6">
        <f t="shared" si="48"/>
        <v>0</v>
      </c>
      <c r="S93" s="2"/>
      <c r="T93" s="7">
        <v>3750</v>
      </c>
      <c r="U93" s="2"/>
      <c r="V93" s="6">
        <f t="shared" si="49"/>
        <v>7.8382535618591836E-4</v>
      </c>
      <c r="W93" s="2"/>
      <c r="X93" s="7">
        <f t="shared" si="50"/>
        <v>-3750</v>
      </c>
      <c r="Y93" s="2"/>
      <c r="Z93" s="6">
        <f t="shared" si="51"/>
        <v>-1</v>
      </c>
    </row>
    <row r="94" spans="1:26" s="28" customFormat="1" outlineLevel="1" collapsed="1" x14ac:dyDescent="0.25">
      <c r="A94" s="27"/>
      <c r="B94" s="14" t="str">
        <f>CONCATENATE("     ","Employees' Appreciation                           ")</f>
        <v xml:space="preserve">     Employees' Appreciation                           </v>
      </c>
      <c r="C94" s="14"/>
      <c r="D94" s="1">
        <f>SUM(OSRRefD22_8x_0)</f>
        <v>447.27</v>
      </c>
      <c r="E94" s="1"/>
      <c r="F94" s="5">
        <f t="shared" si="44"/>
        <v>5.8904589565312779E-4</v>
      </c>
      <c r="G94" s="1"/>
      <c r="H94" s="1">
        <f>SUM(OSRRefH22_8x_0)</f>
        <v>245</v>
      </c>
      <c r="I94" s="1"/>
      <c r="J94" s="5">
        <f t="shared" si="45"/>
        <v>2.3138004502938999E-4</v>
      </c>
      <c r="K94" s="1"/>
      <c r="L94" s="1">
        <f t="shared" si="46"/>
        <v>202.26999999999998</v>
      </c>
      <c r="M94" s="1"/>
      <c r="N94" s="5">
        <f t="shared" si="47"/>
        <v>0.82559183673469383</v>
      </c>
      <c r="O94" s="14"/>
      <c r="P94" s="1">
        <f>SUM(OSRRefP22_8x_0)</f>
        <v>1384.63</v>
      </c>
      <c r="Q94" s="1"/>
      <c r="R94" s="5">
        <f t="shared" si="48"/>
        <v>4.723627727263208E-4</v>
      </c>
      <c r="S94" s="1"/>
      <c r="T94" s="1">
        <f>SUM(OSRRefT22_8x_0)</f>
        <v>735</v>
      </c>
      <c r="U94" s="1"/>
      <c r="V94" s="5">
        <f t="shared" si="49"/>
        <v>1.5362976981243999E-4</v>
      </c>
      <c r="W94" s="1"/>
      <c r="X94" s="1">
        <f t="shared" si="50"/>
        <v>649.63000000000011</v>
      </c>
      <c r="Y94" s="1"/>
      <c r="Z94" s="5">
        <f t="shared" si="51"/>
        <v>0.88385034013605457</v>
      </c>
    </row>
    <row r="95" spans="1:26" s="24" customFormat="1" hidden="1" outlineLevel="2" x14ac:dyDescent="0.25">
      <c r="A95" s="29"/>
      <c r="B95" s="11" t="str">
        <f>CONCATENATE("          ", "6277", " - ", "EMPLOYEE APPRECIATION")</f>
        <v xml:space="preserve">          6277 - EMPLOYEE APPRECIATION</v>
      </c>
      <c r="C95" s="11"/>
      <c r="D95" s="7">
        <v>447.27</v>
      </c>
      <c r="E95" s="2"/>
      <c r="F95" s="6">
        <f t="shared" si="44"/>
        <v>5.8904589565312779E-4</v>
      </c>
      <c r="G95" s="2"/>
      <c r="H95" s="7">
        <v>245</v>
      </c>
      <c r="I95" s="2"/>
      <c r="J95" s="6">
        <f t="shared" si="45"/>
        <v>2.3138004502938999E-4</v>
      </c>
      <c r="K95" s="2"/>
      <c r="L95" s="7">
        <f t="shared" si="46"/>
        <v>202.26999999999998</v>
      </c>
      <c r="M95" s="2"/>
      <c r="N95" s="6">
        <f t="shared" si="47"/>
        <v>0.82559183673469383</v>
      </c>
      <c r="O95" s="11"/>
      <c r="P95" s="7">
        <v>1384.63</v>
      </c>
      <c r="Q95" s="2"/>
      <c r="R95" s="6">
        <f t="shared" si="48"/>
        <v>4.723627727263208E-4</v>
      </c>
      <c r="S95" s="2"/>
      <c r="T95" s="7">
        <v>735</v>
      </c>
      <c r="U95" s="2"/>
      <c r="V95" s="6">
        <f t="shared" si="49"/>
        <v>1.5362976981243999E-4</v>
      </c>
      <c r="W95" s="2"/>
      <c r="X95" s="7">
        <f t="shared" si="50"/>
        <v>649.63000000000011</v>
      </c>
      <c r="Y95" s="2"/>
      <c r="Z95" s="6">
        <f t="shared" si="51"/>
        <v>0.88385034013605457</v>
      </c>
    </row>
    <row r="96" spans="1:26" s="28" customFormat="1" outlineLevel="1" collapsed="1" x14ac:dyDescent="0.25">
      <c r="A96" s="27"/>
      <c r="B96" s="14" t="str">
        <f>CONCATENATE("     ","Equipment Rental                                  ")</f>
        <v xml:space="preserve">     Equipment Rental                                  </v>
      </c>
      <c r="C96" s="14"/>
      <c r="D96" s="1">
        <f>SUM(OSRRefD22_9x_0)</f>
        <v>1388.16</v>
      </c>
      <c r="E96" s="1"/>
      <c r="F96" s="5">
        <f t="shared" si="44"/>
        <v>1.828179735975688E-3</v>
      </c>
      <c r="G96" s="1"/>
      <c r="H96" s="1">
        <f>SUM(OSRRefH22_9x_0)</f>
        <v>1700</v>
      </c>
      <c r="I96" s="1"/>
      <c r="J96" s="5">
        <f t="shared" si="45"/>
        <v>1.6054941899998488E-3</v>
      </c>
      <c r="K96" s="1"/>
      <c r="L96" s="1">
        <f t="shared" si="46"/>
        <v>-311.83999999999992</v>
      </c>
      <c r="M96" s="1"/>
      <c r="N96" s="5">
        <f t="shared" si="47"/>
        <v>-0.183435294117647</v>
      </c>
      <c r="O96" s="14"/>
      <c r="P96" s="1">
        <f>SUM(OSRRefP22_9x_0)</f>
        <v>5080.05</v>
      </c>
      <c r="Q96" s="1"/>
      <c r="R96" s="5">
        <f t="shared" si="48"/>
        <v>1.7330452926690495E-3</v>
      </c>
      <c r="S96" s="1"/>
      <c r="T96" s="1">
        <f>SUM(OSRRefT22_9x_0)</f>
        <v>4900</v>
      </c>
      <c r="U96" s="1"/>
      <c r="V96" s="5">
        <f t="shared" si="49"/>
        <v>1.0241984654162668E-3</v>
      </c>
      <c r="W96" s="1"/>
      <c r="X96" s="1">
        <f t="shared" si="50"/>
        <v>180.05000000000018</v>
      </c>
      <c r="Y96" s="1"/>
      <c r="Z96" s="5">
        <f t="shared" si="51"/>
        <v>3.674489795918371E-2</v>
      </c>
    </row>
    <row r="97" spans="1:26" s="24" customFormat="1" hidden="1" outlineLevel="2" x14ac:dyDescent="0.25">
      <c r="A97" s="29"/>
      <c r="B97" s="11" t="str">
        <f>CONCATENATE("          ", "6351", " - ", "EQUIPMENT RENTAL")</f>
        <v xml:space="preserve">          6351 - EQUIPMENT RENTAL</v>
      </c>
      <c r="C97" s="11"/>
      <c r="D97" s="7">
        <v>1388.16</v>
      </c>
      <c r="E97" s="2"/>
      <c r="F97" s="6">
        <f t="shared" si="44"/>
        <v>1.828179735975688E-3</v>
      </c>
      <c r="G97" s="2"/>
      <c r="H97" s="7">
        <v>1700</v>
      </c>
      <c r="I97" s="2"/>
      <c r="J97" s="6">
        <f t="shared" si="45"/>
        <v>1.6054941899998488E-3</v>
      </c>
      <c r="K97" s="2"/>
      <c r="L97" s="7">
        <f t="shared" si="46"/>
        <v>-311.83999999999992</v>
      </c>
      <c r="M97" s="2"/>
      <c r="N97" s="6">
        <f t="shared" si="47"/>
        <v>-0.183435294117647</v>
      </c>
      <c r="O97" s="11"/>
      <c r="P97" s="7">
        <v>5080.05</v>
      </c>
      <c r="Q97" s="2"/>
      <c r="R97" s="6">
        <f t="shared" si="48"/>
        <v>1.7330452926690495E-3</v>
      </c>
      <c r="S97" s="2"/>
      <c r="T97" s="7">
        <v>4900</v>
      </c>
      <c r="U97" s="2"/>
      <c r="V97" s="6">
        <f t="shared" si="49"/>
        <v>1.0241984654162668E-3</v>
      </c>
      <c r="W97" s="2"/>
      <c r="X97" s="7">
        <f t="shared" si="50"/>
        <v>180.05000000000018</v>
      </c>
      <c r="Y97" s="2"/>
      <c r="Z97" s="6">
        <f t="shared" si="51"/>
        <v>3.674489795918371E-2</v>
      </c>
    </row>
    <row r="98" spans="1:26" s="28" customFormat="1" outlineLevel="1" collapsed="1" x14ac:dyDescent="0.25">
      <c r="A98" s="27"/>
      <c r="B98" s="14" t="str">
        <f>CONCATENATE("     ","Freight out/Postage                               ")</f>
        <v xml:space="preserve">     Freight out/Postage                               </v>
      </c>
      <c r="C98" s="14"/>
      <c r="D98" s="1">
        <f>SUM(OSRRefD22_10x_0)</f>
        <v>3676.3099999999995</v>
      </c>
      <c r="E98" s="1"/>
      <c r="F98" s="5">
        <f t="shared" si="44"/>
        <v>4.8416288073167219E-3</v>
      </c>
      <c r="G98" s="1"/>
      <c r="H98" s="1">
        <f>SUM(OSRRefH22_10x_0)</f>
        <v>-10135</v>
      </c>
      <c r="I98" s="1"/>
      <c r="J98" s="5">
        <f t="shared" si="45"/>
        <v>-9.5715785974402751E-3</v>
      </c>
      <c r="K98" s="1"/>
      <c r="L98" s="1">
        <f t="shared" si="46"/>
        <v>13811.31</v>
      </c>
      <c r="M98" s="1"/>
      <c r="N98" s="5">
        <f t="shared" si="47"/>
        <v>-1.3627340897878637</v>
      </c>
      <c r="O98" s="14"/>
      <c r="P98" s="1">
        <f>SUM(OSRRefP22_10x_0)</f>
        <v>-12013.43</v>
      </c>
      <c r="Q98" s="1"/>
      <c r="R98" s="5">
        <f t="shared" si="48"/>
        <v>-4.0983490930815913E-3</v>
      </c>
      <c r="S98" s="1"/>
      <c r="T98" s="1">
        <f>SUM(OSRRefT22_10x_0)</f>
        <v>-47205</v>
      </c>
      <c r="U98" s="1"/>
      <c r="V98" s="5">
        <f t="shared" si="49"/>
        <v>-9.8667935836683398E-3</v>
      </c>
      <c r="W98" s="1"/>
      <c r="X98" s="1">
        <f t="shared" si="50"/>
        <v>35191.57</v>
      </c>
      <c r="Y98" s="1"/>
      <c r="Z98" s="5">
        <f t="shared" si="51"/>
        <v>-0.74550513716767286</v>
      </c>
    </row>
    <row r="99" spans="1:26" s="24" customFormat="1" hidden="1" outlineLevel="2" x14ac:dyDescent="0.25">
      <c r="A99" s="29"/>
      <c r="B99" s="11" t="str">
        <f>CONCATENATE("          ", "6305", " - ", "FREIGHT OUT")</f>
        <v xml:space="preserve">          6305 - FREIGHT OUT</v>
      </c>
      <c r="C99" s="11"/>
      <c r="D99" s="7">
        <v>13313.84</v>
      </c>
      <c r="E99" s="2"/>
      <c r="F99" s="6">
        <f t="shared" si="44"/>
        <v>1.7534068476272587E-2</v>
      </c>
      <c r="G99" s="2"/>
      <c r="H99" s="7">
        <v>1365</v>
      </c>
      <c r="I99" s="2"/>
      <c r="J99" s="6">
        <f t="shared" si="45"/>
        <v>1.2891173937351727E-3</v>
      </c>
      <c r="K99" s="2"/>
      <c r="L99" s="7">
        <f t="shared" si="46"/>
        <v>11948.84</v>
      </c>
      <c r="M99" s="2"/>
      <c r="N99" s="6">
        <f t="shared" si="47"/>
        <v>8.7537289377289387</v>
      </c>
      <c r="O99" s="11"/>
      <c r="P99" s="7">
        <v>28696.18</v>
      </c>
      <c r="Q99" s="2"/>
      <c r="R99" s="6">
        <f t="shared" si="48"/>
        <v>9.7896240522403755E-3</v>
      </c>
      <c r="S99" s="2"/>
      <c r="T99" s="7">
        <v>18095</v>
      </c>
      <c r="U99" s="2"/>
      <c r="V99" s="6">
        <f t="shared" si="49"/>
        <v>3.7822186187157847E-3</v>
      </c>
      <c r="W99" s="2"/>
      <c r="X99" s="7">
        <f t="shared" si="50"/>
        <v>10601.18</v>
      </c>
      <c r="Y99" s="2"/>
      <c r="Z99" s="6">
        <f t="shared" si="51"/>
        <v>0.58586239292622277</v>
      </c>
    </row>
    <row r="100" spans="1:26" s="24" customFormat="1" hidden="1" outlineLevel="2" x14ac:dyDescent="0.25">
      <c r="A100" s="29"/>
      <c r="B100" s="11" t="str">
        <f>CONCATENATE("          ", "6307", " - ", "POSTAGE")</f>
        <v xml:space="preserve">          6307 - POSTAGE</v>
      </c>
      <c r="C100" s="11"/>
      <c r="D100" s="7">
        <v>-9637.5300000000007</v>
      </c>
      <c r="E100" s="2"/>
      <c r="F100" s="6">
        <f t="shared" si="44"/>
        <v>-1.2692439668955864E-2</v>
      </c>
      <c r="G100" s="2"/>
      <c r="H100" s="7">
        <v>-11500</v>
      </c>
      <c r="I100" s="2"/>
      <c r="J100" s="6">
        <f t="shared" si="45"/>
        <v>-1.0860695991175449E-2</v>
      </c>
      <c r="K100" s="2"/>
      <c r="L100" s="7">
        <f t="shared" si="46"/>
        <v>1862.4699999999993</v>
      </c>
      <c r="M100" s="2"/>
      <c r="N100" s="6">
        <f t="shared" si="47"/>
        <v>-0.1619539130434782</v>
      </c>
      <c r="O100" s="11"/>
      <c r="P100" s="7">
        <v>-40709.61</v>
      </c>
      <c r="Q100" s="2"/>
      <c r="R100" s="6">
        <f t="shared" si="48"/>
        <v>-1.3887973145321968E-2</v>
      </c>
      <c r="S100" s="2"/>
      <c r="T100" s="7">
        <v>-65300</v>
      </c>
      <c r="U100" s="2"/>
      <c r="V100" s="6">
        <f t="shared" si="49"/>
        <v>-1.3649012202384125E-2</v>
      </c>
      <c r="W100" s="2"/>
      <c r="X100" s="7">
        <f t="shared" si="50"/>
        <v>24590.39</v>
      </c>
      <c r="Y100" s="2"/>
      <c r="Z100" s="6">
        <f t="shared" si="51"/>
        <v>-0.37657565084226646</v>
      </c>
    </row>
    <row r="101" spans="1:26" s="28" customFormat="1" outlineLevel="1" collapsed="1" x14ac:dyDescent="0.25">
      <c r="A101" s="27"/>
      <c r="B101" s="14" t="str">
        <f>CONCATENATE("     ","General                                           ")</f>
        <v xml:space="preserve">     General                                           </v>
      </c>
      <c r="C101" s="14"/>
      <c r="D101" s="1">
        <f>SUM(OSRRefD22_11x_0)</f>
        <v>91.31</v>
      </c>
      <c r="E101" s="1"/>
      <c r="F101" s="5">
        <f t="shared" ref="F101:F103" si="52">IF(D$12=0,0,D101/D$12)</f>
        <v>1.2025349505240035E-4</v>
      </c>
      <c r="G101" s="1"/>
      <c r="H101" s="1">
        <f>SUM(OSRRefH22_11x_0)</f>
        <v>230</v>
      </c>
      <c r="I101" s="1"/>
      <c r="J101" s="5">
        <f t="shared" ref="J101:J103" si="53">IF(H$12=0,0,H101/H$12)</f>
        <v>2.1721391982350898E-4</v>
      </c>
      <c r="K101" s="1"/>
      <c r="L101" s="1">
        <f t="shared" ref="L101:L103" si="54">+D101-H101</f>
        <v>-138.69</v>
      </c>
      <c r="M101" s="1"/>
      <c r="N101" s="5">
        <f t="shared" ref="N101:N103" si="55">IF(H101=0,0,L101/H101)</f>
        <v>-0.60299999999999998</v>
      </c>
      <c r="O101" s="14"/>
      <c r="P101" s="1">
        <f>SUM(OSRRefP22_11x_0)</f>
        <v>1866.6</v>
      </c>
      <c r="Q101" s="1"/>
      <c r="R101" s="5">
        <f t="shared" ref="R101:R103" si="56">IF(P$12=0,0,P101/P$12)</f>
        <v>6.3678553228728994E-4</v>
      </c>
      <c r="S101" s="1"/>
      <c r="T101" s="1">
        <f>SUM(OSRRefT22_11x_0)</f>
        <v>940</v>
      </c>
      <c r="U101" s="1"/>
      <c r="V101" s="5">
        <f t="shared" ref="V101:V103" si="57">IF(T$12=0,0,T101/T$12)</f>
        <v>1.9647888928393687E-4</v>
      </c>
      <c r="W101" s="1"/>
      <c r="X101" s="1">
        <f t="shared" ref="X101:X103" si="58">+P101-T101</f>
        <v>926.59999999999991</v>
      </c>
      <c r="Y101" s="1"/>
      <c r="Z101" s="5">
        <f t="shared" ref="Z101:Z103" si="59">IF(T101=0,0,X101/T101)</f>
        <v>0.9857446808510637</v>
      </c>
    </row>
    <row r="102" spans="1:26" s="24" customFormat="1" hidden="1" outlineLevel="2" x14ac:dyDescent="0.25">
      <c r="A102" s="29"/>
      <c r="B102" s="11" t="str">
        <f>CONCATENATE("          ", "6276", " - ", "PROPERTY TAX")</f>
        <v xml:space="preserve">          6276 - PROPERTY TAX</v>
      </c>
      <c r="C102" s="11"/>
      <c r="D102" s="7"/>
      <c r="E102" s="2"/>
      <c r="F102" s="6">
        <f t="shared" si="52"/>
        <v>0</v>
      </c>
      <c r="G102" s="2"/>
      <c r="H102" s="7"/>
      <c r="I102" s="2"/>
      <c r="J102" s="6">
        <f t="shared" si="53"/>
        <v>0</v>
      </c>
      <c r="K102" s="2"/>
      <c r="L102" s="7">
        <f t="shared" si="54"/>
        <v>0</v>
      </c>
      <c r="M102" s="2"/>
      <c r="N102" s="6">
        <f t="shared" si="55"/>
        <v>0</v>
      </c>
      <c r="O102" s="11"/>
      <c r="P102" s="7"/>
      <c r="Q102" s="2"/>
      <c r="R102" s="6">
        <f t="shared" si="56"/>
        <v>0</v>
      </c>
      <c r="S102" s="2"/>
      <c r="T102" s="7">
        <v>125</v>
      </c>
      <c r="U102" s="2"/>
      <c r="V102" s="6">
        <f t="shared" si="57"/>
        <v>2.6127511872863946E-5</v>
      </c>
      <c r="W102" s="2"/>
      <c r="X102" s="7">
        <f t="shared" si="58"/>
        <v>-125</v>
      </c>
      <c r="Y102" s="2"/>
      <c r="Z102" s="6">
        <f t="shared" si="59"/>
        <v>-1</v>
      </c>
    </row>
    <row r="103" spans="1:26" s="24" customFormat="1" hidden="1" outlineLevel="2" x14ac:dyDescent="0.25">
      <c r="A103" s="29"/>
      <c r="B103" s="11" t="str">
        <f>CONCATENATE("          ", "6279", " - ", "GENERAL EXPENSE")</f>
        <v xml:space="preserve">          6279 - GENERAL EXPENSE</v>
      </c>
      <c r="C103" s="11"/>
      <c r="D103" s="7">
        <v>91.31</v>
      </c>
      <c r="E103" s="2"/>
      <c r="F103" s="6">
        <f t="shared" si="52"/>
        <v>1.2025349505240035E-4</v>
      </c>
      <c r="G103" s="2"/>
      <c r="H103" s="7">
        <v>230</v>
      </c>
      <c r="I103" s="2"/>
      <c r="J103" s="6">
        <f t="shared" si="53"/>
        <v>2.1721391982350898E-4</v>
      </c>
      <c r="K103" s="2"/>
      <c r="L103" s="7">
        <f t="shared" si="54"/>
        <v>-138.69</v>
      </c>
      <c r="M103" s="2"/>
      <c r="N103" s="6">
        <f t="shared" si="55"/>
        <v>-0.60299999999999998</v>
      </c>
      <c r="O103" s="11"/>
      <c r="P103" s="7">
        <v>1866.6</v>
      </c>
      <c r="Q103" s="2"/>
      <c r="R103" s="6">
        <f t="shared" si="56"/>
        <v>6.3678553228728994E-4</v>
      </c>
      <c r="S103" s="2"/>
      <c r="T103" s="7">
        <v>815</v>
      </c>
      <c r="U103" s="2"/>
      <c r="V103" s="6">
        <f t="shared" si="57"/>
        <v>1.7035137741107292E-4</v>
      </c>
      <c r="W103" s="2"/>
      <c r="X103" s="7">
        <f t="shared" si="58"/>
        <v>1051.5999999999999</v>
      </c>
      <c r="Y103" s="2"/>
      <c r="Z103" s="6">
        <f t="shared" si="59"/>
        <v>1.2903067484662576</v>
      </c>
    </row>
    <row r="104" spans="1:26" s="28" customFormat="1" outlineLevel="1" collapsed="1" x14ac:dyDescent="0.25">
      <c r="A104" s="27"/>
      <c r="B104" s="14" t="str">
        <f>CONCATENATE("     ","Insurance                                         ")</f>
        <v xml:space="preserve">     Insurance                                         </v>
      </c>
      <c r="C104" s="14"/>
      <c r="D104" s="1">
        <f>SUM(OSRRefD22_12x_0)</f>
        <v>5494.57</v>
      </c>
      <c r="E104" s="1"/>
      <c r="F104" s="5">
        <f t="shared" ref="F104:F116" si="60">IF(D$12=0,0,D104/D$12)</f>
        <v>7.2362418827079987E-3</v>
      </c>
      <c r="G104" s="1"/>
      <c r="H104" s="1">
        <f>SUM(OSRRefH22_12x_0)</f>
        <v>5375</v>
      </c>
      <c r="I104" s="1"/>
      <c r="J104" s="5">
        <f t="shared" ref="J104:J116" si="61">IF(H$12=0,0,H104/H$12)</f>
        <v>5.0761948654406983E-3</v>
      </c>
      <c r="K104" s="1"/>
      <c r="L104" s="1">
        <f t="shared" ref="L104:L116" si="62">+D104-H104</f>
        <v>119.56999999999971</v>
      </c>
      <c r="M104" s="1"/>
      <c r="N104" s="5">
        <f t="shared" ref="N104:N116" si="63">IF(H104=0,0,L104/H104)</f>
        <v>2.2245581395348782E-2</v>
      </c>
      <c r="O104" s="14"/>
      <c r="P104" s="1">
        <f>SUM(OSRRefP22_12x_0)</f>
        <v>16483.71</v>
      </c>
      <c r="Q104" s="1"/>
      <c r="R104" s="5">
        <f t="shared" ref="R104:R116" si="64">IF(P$12=0,0,P104/P$12)</f>
        <v>5.6233730024747262E-3</v>
      </c>
      <c r="S104" s="1"/>
      <c r="T104" s="1">
        <f>SUM(OSRRefT22_12x_0)</f>
        <v>16125</v>
      </c>
      <c r="U104" s="1"/>
      <c r="V104" s="5">
        <f t="shared" ref="V104:V116" si="65">IF(T$12=0,0,T104/T$12)</f>
        <v>3.3704490315994489E-3</v>
      </c>
      <c r="W104" s="1"/>
      <c r="X104" s="1">
        <f t="shared" ref="X104:X116" si="66">+P104-T104</f>
        <v>358.70999999999913</v>
      </c>
      <c r="Y104" s="1"/>
      <c r="Z104" s="5">
        <f t="shared" ref="Z104:Z116" si="67">IF(T104=0,0,X104/T104)</f>
        <v>2.2245581395348782E-2</v>
      </c>
    </row>
    <row r="105" spans="1:26" s="24" customFormat="1" hidden="1" outlineLevel="2" x14ac:dyDescent="0.25">
      <c r="A105" s="29"/>
      <c r="B105" s="11" t="str">
        <f>CONCATENATE("          ", "6314", " - ", "LIABILITY INSURANCE")</f>
        <v xml:space="preserve">          6314 - LIABILITY INSURANCE</v>
      </c>
      <c r="C105" s="11"/>
      <c r="D105" s="7">
        <v>5494.57</v>
      </c>
      <c r="E105" s="2"/>
      <c r="F105" s="6">
        <f t="shared" si="60"/>
        <v>7.2362418827079987E-3</v>
      </c>
      <c r="G105" s="2"/>
      <c r="H105" s="7">
        <v>5375</v>
      </c>
      <c r="I105" s="2"/>
      <c r="J105" s="6">
        <f t="shared" si="61"/>
        <v>5.0761948654406983E-3</v>
      </c>
      <c r="K105" s="2"/>
      <c r="L105" s="7">
        <f t="shared" si="62"/>
        <v>119.56999999999971</v>
      </c>
      <c r="M105" s="2"/>
      <c r="N105" s="6">
        <f t="shared" si="63"/>
        <v>2.2245581395348782E-2</v>
      </c>
      <c r="O105" s="11"/>
      <c r="P105" s="7">
        <v>16483.71</v>
      </c>
      <c r="Q105" s="2"/>
      <c r="R105" s="6">
        <f t="shared" si="64"/>
        <v>5.6233730024747262E-3</v>
      </c>
      <c r="S105" s="2"/>
      <c r="T105" s="7">
        <v>16125</v>
      </c>
      <c r="U105" s="2"/>
      <c r="V105" s="6">
        <f t="shared" si="65"/>
        <v>3.3704490315994489E-3</v>
      </c>
      <c r="W105" s="2"/>
      <c r="X105" s="7">
        <f t="shared" si="66"/>
        <v>358.70999999999913</v>
      </c>
      <c r="Y105" s="2"/>
      <c r="Z105" s="6">
        <f t="shared" si="67"/>
        <v>2.2245581395348782E-2</v>
      </c>
    </row>
    <row r="106" spans="1:26" s="28" customFormat="1" outlineLevel="1" collapsed="1" x14ac:dyDescent="0.25">
      <c r="A106" s="27"/>
      <c r="B106" s="14" t="str">
        <f>CONCATENATE("     ","Inventory Adjustment                              ")</f>
        <v xml:space="preserve">     Inventory Adjustment                              </v>
      </c>
      <c r="C106" s="14"/>
      <c r="D106" s="1">
        <f>SUM(OSRRefD22_13x_0)</f>
        <v>5690</v>
      </c>
      <c r="E106" s="1"/>
      <c r="F106" s="5">
        <f t="shared" si="60"/>
        <v>7.4936193938030665E-3</v>
      </c>
      <c r="G106" s="1"/>
      <c r="H106" s="1">
        <f>SUM(OSRRefH22_13x_0)</f>
        <v>6400</v>
      </c>
      <c r="I106" s="1"/>
      <c r="J106" s="5">
        <f t="shared" si="61"/>
        <v>6.044213421175902E-3</v>
      </c>
      <c r="K106" s="1"/>
      <c r="L106" s="1">
        <f t="shared" si="62"/>
        <v>-710</v>
      </c>
      <c r="M106" s="1"/>
      <c r="N106" s="5">
        <f t="shared" si="63"/>
        <v>-0.11093749999999999</v>
      </c>
      <c r="O106" s="14"/>
      <c r="P106" s="1">
        <f>SUM(OSRRefP22_13x_0)</f>
        <v>19380</v>
      </c>
      <c r="Q106" s="1"/>
      <c r="R106" s="5">
        <f t="shared" si="64"/>
        <v>6.6114344882286938E-3</v>
      </c>
      <c r="S106" s="1"/>
      <c r="T106" s="1">
        <f>SUM(OSRRefT22_13x_0)</f>
        <v>20090</v>
      </c>
      <c r="U106" s="1"/>
      <c r="V106" s="5">
        <f t="shared" si="65"/>
        <v>4.1992137082066932E-3</v>
      </c>
      <c r="W106" s="1"/>
      <c r="X106" s="1">
        <f t="shared" si="66"/>
        <v>-710</v>
      </c>
      <c r="Y106" s="1"/>
      <c r="Z106" s="5">
        <f t="shared" si="67"/>
        <v>-3.5340965654554503E-2</v>
      </c>
    </row>
    <row r="107" spans="1:26" s="24" customFormat="1" hidden="1" outlineLevel="2" x14ac:dyDescent="0.25">
      <c r="A107" s="29"/>
      <c r="B107" s="11" t="str">
        <f>CONCATENATE("          ", "6408", " - ", "INVENTORY ADJUSTMENT")</f>
        <v xml:space="preserve">          6408 - INVENTORY ADJUSTMENT</v>
      </c>
      <c r="C107" s="11"/>
      <c r="D107" s="7">
        <v>5690</v>
      </c>
      <c r="E107" s="2"/>
      <c r="F107" s="6">
        <f t="shared" si="60"/>
        <v>7.4936193938030665E-3</v>
      </c>
      <c r="G107" s="2"/>
      <c r="H107" s="7">
        <v>6400</v>
      </c>
      <c r="I107" s="2"/>
      <c r="J107" s="6">
        <f t="shared" si="61"/>
        <v>6.044213421175902E-3</v>
      </c>
      <c r="K107" s="2"/>
      <c r="L107" s="7">
        <f t="shared" si="62"/>
        <v>-710</v>
      </c>
      <c r="M107" s="2"/>
      <c r="N107" s="6">
        <f t="shared" si="63"/>
        <v>-0.11093749999999999</v>
      </c>
      <c r="O107" s="11"/>
      <c r="P107" s="7">
        <v>19380</v>
      </c>
      <c r="Q107" s="2"/>
      <c r="R107" s="6">
        <f t="shared" si="64"/>
        <v>6.6114344882286938E-3</v>
      </c>
      <c r="S107" s="2"/>
      <c r="T107" s="7">
        <v>20090</v>
      </c>
      <c r="U107" s="2"/>
      <c r="V107" s="6">
        <f t="shared" si="65"/>
        <v>4.1992137082066932E-3</v>
      </c>
      <c r="W107" s="2"/>
      <c r="X107" s="7">
        <f t="shared" si="66"/>
        <v>-710</v>
      </c>
      <c r="Y107" s="2"/>
      <c r="Z107" s="6">
        <f t="shared" si="67"/>
        <v>-3.5340965654554503E-2</v>
      </c>
    </row>
    <row r="108" spans="1:26" s="28" customFormat="1" outlineLevel="1" collapsed="1" x14ac:dyDescent="0.25">
      <c r="A108" s="27"/>
      <c r="B108" s="14" t="str">
        <f>CONCATENATE("     ","Professional Services                             ")</f>
        <v xml:space="preserve">     Professional Services                             </v>
      </c>
      <c r="C108" s="14"/>
      <c r="D108" s="1">
        <f>SUM(OSRRefD22_14x_0)</f>
        <v>0</v>
      </c>
      <c r="E108" s="1"/>
      <c r="F108" s="5">
        <f t="shared" si="60"/>
        <v>0</v>
      </c>
      <c r="G108" s="1"/>
      <c r="H108" s="1">
        <f>SUM(OSRRefH22_14x_0)</f>
        <v>0</v>
      </c>
      <c r="I108" s="1"/>
      <c r="J108" s="5">
        <f t="shared" si="61"/>
        <v>0</v>
      </c>
      <c r="K108" s="1"/>
      <c r="L108" s="1">
        <f t="shared" si="62"/>
        <v>0</v>
      </c>
      <c r="M108" s="1"/>
      <c r="N108" s="5">
        <f t="shared" si="63"/>
        <v>0</v>
      </c>
      <c r="O108" s="14"/>
      <c r="P108" s="1">
        <f>SUM(OSRRefP22_14x_0)</f>
        <v>0</v>
      </c>
      <c r="Q108" s="1"/>
      <c r="R108" s="5">
        <f t="shared" si="64"/>
        <v>0</v>
      </c>
      <c r="S108" s="1"/>
      <c r="T108" s="1">
        <f>SUM(OSRRefT22_14x_0)</f>
        <v>1000</v>
      </c>
      <c r="U108" s="1"/>
      <c r="V108" s="5">
        <f t="shared" si="65"/>
        <v>2.0902009498291157E-4</v>
      </c>
      <c r="W108" s="1"/>
      <c r="X108" s="1">
        <f t="shared" si="66"/>
        <v>-1000</v>
      </c>
      <c r="Y108" s="1"/>
      <c r="Z108" s="5">
        <f t="shared" si="67"/>
        <v>-1</v>
      </c>
    </row>
    <row r="109" spans="1:26" s="24" customFormat="1" hidden="1" outlineLevel="2" x14ac:dyDescent="0.25">
      <c r="A109" s="29"/>
      <c r="B109" s="11" t="str">
        <f>CONCATENATE("          ", "6336", " - ", "PROFESSIONAL SERVICES")</f>
        <v xml:space="preserve">          6336 - PROFESSIONAL SERVICES</v>
      </c>
      <c r="C109" s="11"/>
      <c r="D109" s="7"/>
      <c r="E109" s="2"/>
      <c r="F109" s="6">
        <f t="shared" si="60"/>
        <v>0</v>
      </c>
      <c r="G109" s="2"/>
      <c r="H109" s="7">
        <v>0</v>
      </c>
      <c r="I109" s="2"/>
      <c r="J109" s="6">
        <f t="shared" si="61"/>
        <v>0</v>
      </c>
      <c r="K109" s="2"/>
      <c r="L109" s="7">
        <f t="shared" si="62"/>
        <v>0</v>
      </c>
      <c r="M109" s="2"/>
      <c r="N109" s="6">
        <f t="shared" si="63"/>
        <v>0</v>
      </c>
      <c r="O109" s="11"/>
      <c r="P109" s="7"/>
      <c r="Q109" s="2"/>
      <c r="R109" s="6">
        <f t="shared" si="64"/>
        <v>0</v>
      </c>
      <c r="S109" s="2"/>
      <c r="T109" s="7">
        <v>1000</v>
      </c>
      <c r="U109" s="2"/>
      <c r="V109" s="6">
        <f t="shared" si="65"/>
        <v>2.0902009498291157E-4</v>
      </c>
      <c r="W109" s="2"/>
      <c r="X109" s="7">
        <f t="shared" si="66"/>
        <v>-1000</v>
      </c>
      <c r="Y109" s="2"/>
      <c r="Z109" s="6">
        <f t="shared" si="67"/>
        <v>-1</v>
      </c>
    </row>
    <row r="110" spans="1:26" s="28" customFormat="1" outlineLevel="1" collapsed="1" x14ac:dyDescent="0.25">
      <c r="A110" s="27"/>
      <c r="B110" s="14" t="str">
        <f>CONCATENATE("     ","Rent                                              ")</f>
        <v xml:space="preserve">     Rent                                              </v>
      </c>
      <c r="C110" s="14"/>
      <c r="D110" s="1">
        <f>SUM(OSRRefD22_15x_0)</f>
        <v>6100</v>
      </c>
      <c r="E110" s="1"/>
      <c r="F110" s="5">
        <f t="shared" si="60"/>
        <v>8.0335814239365037E-3</v>
      </c>
      <c r="G110" s="1"/>
      <c r="H110" s="1">
        <f>SUM(OSRRefH22_15x_0)</f>
        <v>6100</v>
      </c>
      <c r="I110" s="1"/>
      <c r="J110" s="5">
        <f t="shared" si="61"/>
        <v>5.7608909170582812E-3</v>
      </c>
      <c r="K110" s="1"/>
      <c r="L110" s="1">
        <f t="shared" si="62"/>
        <v>0</v>
      </c>
      <c r="M110" s="1"/>
      <c r="N110" s="5">
        <f t="shared" si="63"/>
        <v>0</v>
      </c>
      <c r="O110" s="14"/>
      <c r="P110" s="1">
        <f>SUM(OSRRefP22_15x_0)</f>
        <v>18300</v>
      </c>
      <c r="Q110" s="1"/>
      <c r="R110" s="5">
        <f t="shared" si="64"/>
        <v>6.242995414581275E-3</v>
      </c>
      <c r="S110" s="1"/>
      <c r="T110" s="1">
        <f>SUM(OSRRefT22_15x_0)</f>
        <v>18300</v>
      </c>
      <c r="U110" s="1"/>
      <c r="V110" s="5">
        <f t="shared" si="65"/>
        <v>3.8250677381872814E-3</v>
      </c>
      <c r="W110" s="1"/>
      <c r="X110" s="1">
        <f t="shared" si="66"/>
        <v>0</v>
      </c>
      <c r="Y110" s="1"/>
      <c r="Z110" s="5">
        <f t="shared" si="67"/>
        <v>0</v>
      </c>
    </row>
    <row r="111" spans="1:26" s="24" customFormat="1" hidden="1" outlineLevel="2" x14ac:dyDescent="0.25">
      <c r="A111" s="29"/>
      <c r="B111" s="11" t="str">
        <f>CONCATENATE("          ", "6273", " - ", "RENT")</f>
        <v xml:space="preserve">          6273 - RENT</v>
      </c>
      <c r="C111" s="11"/>
      <c r="D111" s="7">
        <v>6100</v>
      </c>
      <c r="E111" s="2"/>
      <c r="F111" s="6">
        <f t="shared" si="60"/>
        <v>8.0335814239365037E-3</v>
      </c>
      <c r="G111" s="2"/>
      <c r="H111" s="7">
        <v>6100</v>
      </c>
      <c r="I111" s="2"/>
      <c r="J111" s="6">
        <f t="shared" si="61"/>
        <v>5.7608909170582812E-3</v>
      </c>
      <c r="K111" s="2"/>
      <c r="L111" s="7">
        <f t="shared" si="62"/>
        <v>0</v>
      </c>
      <c r="M111" s="2"/>
      <c r="N111" s="6">
        <f t="shared" si="63"/>
        <v>0</v>
      </c>
      <c r="O111" s="11"/>
      <c r="P111" s="7">
        <v>18300</v>
      </c>
      <c r="Q111" s="2"/>
      <c r="R111" s="6">
        <f t="shared" si="64"/>
        <v>6.242995414581275E-3</v>
      </c>
      <c r="S111" s="2"/>
      <c r="T111" s="7">
        <v>18300</v>
      </c>
      <c r="U111" s="2"/>
      <c r="V111" s="6">
        <f t="shared" si="65"/>
        <v>3.8250677381872814E-3</v>
      </c>
      <c r="W111" s="2"/>
      <c r="X111" s="7">
        <f t="shared" si="66"/>
        <v>0</v>
      </c>
      <c r="Y111" s="2"/>
      <c r="Z111" s="6">
        <f t="shared" si="67"/>
        <v>0</v>
      </c>
    </row>
    <row r="112" spans="1:26" s="28" customFormat="1" outlineLevel="1" collapsed="1" x14ac:dyDescent="0.25">
      <c r="A112" s="27"/>
      <c r="B112" s="14" t="str">
        <f>CONCATENATE("     ","Repair and Maintenance                            ")</f>
        <v xml:space="preserve">     Repair and Maintenance                            </v>
      </c>
      <c r="C112" s="14"/>
      <c r="D112" s="1">
        <f>SUM(OSRRefD22_16x_0)</f>
        <v>4189.5</v>
      </c>
      <c r="E112" s="1"/>
      <c r="F112" s="5">
        <f t="shared" si="60"/>
        <v>5.5174900615708169E-3</v>
      </c>
      <c r="G112" s="1"/>
      <c r="H112" s="1">
        <f>SUM(OSRRefH22_16x_0)</f>
        <v>13145</v>
      </c>
      <c r="I112" s="1"/>
      <c r="J112" s="5">
        <f t="shared" si="61"/>
        <v>1.2414247722087067E-2</v>
      </c>
      <c r="K112" s="1"/>
      <c r="L112" s="1">
        <f t="shared" si="62"/>
        <v>-8955.5</v>
      </c>
      <c r="M112" s="1"/>
      <c r="N112" s="5">
        <f t="shared" si="63"/>
        <v>-0.68128565994674783</v>
      </c>
      <c r="O112" s="14"/>
      <c r="P112" s="1">
        <f>SUM(OSRRefP22_16x_0)</f>
        <v>77016.56</v>
      </c>
      <c r="Q112" s="1"/>
      <c r="R112" s="5">
        <f t="shared" si="64"/>
        <v>2.6273990761028612E-2</v>
      </c>
      <c r="S112" s="1"/>
      <c r="T112" s="1">
        <f>SUM(OSRRefT22_16x_0)</f>
        <v>69055</v>
      </c>
      <c r="U112" s="1"/>
      <c r="V112" s="5">
        <f t="shared" si="65"/>
        <v>1.4433882659044958E-2</v>
      </c>
      <c r="W112" s="1"/>
      <c r="X112" s="1">
        <f t="shared" si="66"/>
        <v>7961.5599999999977</v>
      </c>
      <c r="Y112" s="1"/>
      <c r="Z112" s="5">
        <f t="shared" si="67"/>
        <v>0.115293027297082</v>
      </c>
    </row>
    <row r="113" spans="1:26" s="24" customFormat="1" hidden="1" outlineLevel="2" x14ac:dyDescent="0.25">
      <c r="A113" s="29"/>
      <c r="B113" s="11" t="str">
        <f>CONCATENATE("          ", "6371", " - ", "COMPUTER SOFTWARE MAINTENANCE")</f>
        <v xml:space="preserve">          6371 - COMPUTER SOFTWARE MAINTENANCE</v>
      </c>
      <c r="C113" s="11"/>
      <c r="D113" s="7"/>
      <c r="E113" s="2"/>
      <c r="F113" s="6">
        <f t="shared" si="60"/>
        <v>0</v>
      </c>
      <c r="G113" s="2"/>
      <c r="H113" s="7">
        <v>1000</v>
      </c>
      <c r="I113" s="2"/>
      <c r="J113" s="6">
        <f t="shared" si="61"/>
        <v>9.444083470587346E-4</v>
      </c>
      <c r="K113" s="2"/>
      <c r="L113" s="7">
        <f t="shared" si="62"/>
        <v>-1000</v>
      </c>
      <c r="M113" s="2"/>
      <c r="N113" s="6">
        <f t="shared" si="63"/>
        <v>-1</v>
      </c>
      <c r="O113" s="11"/>
      <c r="P113" s="7">
        <v>59623.5</v>
      </c>
      <c r="Q113" s="2"/>
      <c r="R113" s="6">
        <f t="shared" si="64"/>
        <v>2.0340395470015663E-2</v>
      </c>
      <c r="S113" s="2"/>
      <c r="T113" s="7">
        <v>42000</v>
      </c>
      <c r="U113" s="2"/>
      <c r="V113" s="6">
        <f t="shared" si="65"/>
        <v>8.778843989282286E-3</v>
      </c>
      <c r="W113" s="2"/>
      <c r="X113" s="7">
        <f t="shared" si="66"/>
        <v>17623.5</v>
      </c>
      <c r="Y113" s="2"/>
      <c r="Z113" s="6">
        <f t="shared" si="67"/>
        <v>0.41960714285714285</v>
      </c>
    </row>
    <row r="114" spans="1:26" s="24" customFormat="1" hidden="1" outlineLevel="2" x14ac:dyDescent="0.25">
      <c r="A114" s="29"/>
      <c r="B114" s="11" t="str">
        <f>CONCATENATE("          ", "6372", " - ", "COMPUTER HARDWARE MAINTENANCE")</f>
        <v xml:space="preserve">          6372 - COMPUTER HARDWARE MAINTENANCE</v>
      </c>
      <c r="C114" s="11"/>
      <c r="D114" s="7"/>
      <c r="E114" s="2"/>
      <c r="F114" s="6">
        <f t="shared" si="60"/>
        <v>0</v>
      </c>
      <c r="G114" s="2"/>
      <c r="H114" s="7">
        <v>3750</v>
      </c>
      <c r="I114" s="2"/>
      <c r="J114" s="6">
        <f t="shared" si="61"/>
        <v>3.5415313014702551E-3</v>
      </c>
      <c r="K114" s="2"/>
      <c r="L114" s="7">
        <f t="shared" si="62"/>
        <v>-3750</v>
      </c>
      <c r="M114" s="2"/>
      <c r="N114" s="6">
        <f t="shared" si="63"/>
        <v>-1</v>
      </c>
      <c r="O114" s="11"/>
      <c r="P114" s="7"/>
      <c r="Q114" s="2"/>
      <c r="R114" s="6">
        <f t="shared" si="64"/>
        <v>0</v>
      </c>
      <c r="S114" s="2"/>
      <c r="T114" s="7">
        <v>7870</v>
      </c>
      <c r="U114" s="2"/>
      <c r="V114" s="6">
        <f t="shared" si="65"/>
        <v>1.6449881475155139E-3</v>
      </c>
      <c r="W114" s="2"/>
      <c r="X114" s="7">
        <f t="shared" si="66"/>
        <v>-7870</v>
      </c>
      <c r="Y114" s="2"/>
      <c r="Z114" s="6">
        <f t="shared" si="67"/>
        <v>-1</v>
      </c>
    </row>
    <row r="115" spans="1:26" s="24" customFormat="1" hidden="1" outlineLevel="2" x14ac:dyDescent="0.25">
      <c r="A115" s="29"/>
      <c r="B115" s="11" t="str">
        <f>CONCATENATE("          ", "6373", " - ", "MAINTENANCE CONTRACTS")</f>
        <v xml:space="preserve">          6373 - MAINTENANCE CONTRACTS</v>
      </c>
      <c r="C115" s="11"/>
      <c r="D115" s="7">
        <v>1366.9</v>
      </c>
      <c r="E115" s="2"/>
      <c r="F115" s="6">
        <f t="shared" si="60"/>
        <v>1.8001807292424275E-3</v>
      </c>
      <c r="G115" s="2"/>
      <c r="H115" s="7">
        <v>8355</v>
      </c>
      <c r="I115" s="2"/>
      <c r="J115" s="6">
        <f t="shared" si="61"/>
        <v>7.8905317396757279E-3</v>
      </c>
      <c r="K115" s="2"/>
      <c r="L115" s="7">
        <f t="shared" si="62"/>
        <v>-6988.1</v>
      </c>
      <c r="M115" s="2"/>
      <c r="N115" s="6">
        <f t="shared" si="63"/>
        <v>-0.83639736684619992</v>
      </c>
      <c r="O115" s="11"/>
      <c r="P115" s="7">
        <v>8031.95</v>
      </c>
      <c r="Q115" s="2"/>
      <c r="R115" s="6">
        <f t="shared" si="64"/>
        <v>2.7400779792429546E-3</v>
      </c>
      <c r="S115" s="2"/>
      <c r="T115" s="7">
        <v>19065</v>
      </c>
      <c r="U115" s="2"/>
      <c r="V115" s="6">
        <f t="shared" si="65"/>
        <v>3.9849681108492093E-3</v>
      </c>
      <c r="W115" s="2"/>
      <c r="X115" s="7">
        <f t="shared" si="66"/>
        <v>-11033.05</v>
      </c>
      <c r="Y115" s="2"/>
      <c r="Z115" s="6">
        <f t="shared" si="67"/>
        <v>-0.57870705481248352</v>
      </c>
    </row>
    <row r="116" spans="1:26" s="24" customFormat="1" hidden="1" outlineLevel="2" x14ac:dyDescent="0.25">
      <c r="A116" s="29"/>
      <c r="B116" s="11" t="str">
        <f>CONCATENATE("          ", "6375", " - ", "OUTSIDE REPAIRS &amp; MAINTENANCE")</f>
        <v xml:space="preserve">          6375 - OUTSIDE REPAIRS &amp; MAINTENANCE</v>
      </c>
      <c r="C116" s="11"/>
      <c r="D116" s="7">
        <v>2822.6</v>
      </c>
      <c r="E116" s="2"/>
      <c r="F116" s="6">
        <f t="shared" si="60"/>
        <v>3.717309332328389E-3</v>
      </c>
      <c r="G116" s="2"/>
      <c r="H116" s="7">
        <v>40</v>
      </c>
      <c r="I116" s="2"/>
      <c r="J116" s="6">
        <f t="shared" si="61"/>
        <v>3.7776333882349386E-5</v>
      </c>
      <c r="K116" s="2"/>
      <c r="L116" s="7">
        <f t="shared" si="62"/>
        <v>2782.6</v>
      </c>
      <c r="M116" s="2"/>
      <c r="N116" s="6">
        <f t="shared" si="63"/>
        <v>69.564999999999998</v>
      </c>
      <c r="O116" s="11"/>
      <c r="P116" s="7">
        <v>9361.11</v>
      </c>
      <c r="Q116" s="2"/>
      <c r="R116" s="6">
        <f t="shared" si="64"/>
        <v>3.1935173117699956E-3</v>
      </c>
      <c r="S116" s="2"/>
      <c r="T116" s="7">
        <v>120</v>
      </c>
      <c r="U116" s="2"/>
      <c r="V116" s="6">
        <f t="shared" si="65"/>
        <v>2.5082411397949386E-5</v>
      </c>
      <c r="W116" s="2"/>
      <c r="X116" s="7">
        <f t="shared" si="66"/>
        <v>9241.11</v>
      </c>
      <c r="Y116" s="2"/>
      <c r="Z116" s="6">
        <f t="shared" si="67"/>
        <v>77.009250000000009</v>
      </c>
    </row>
    <row r="117" spans="1:26" s="28" customFormat="1" outlineLevel="1" collapsed="1" x14ac:dyDescent="0.25">
      <c r="A117" s="27"/>
      <c r="B117" s="14" t="str">
        <f>CONCATENATE("     ","Royalty &amp; Commissions                             ")</f>
        <v xml:space="preserve">     Royalty &amp; Commissions                             </v>
      </c>
      <c r="C117" s="14"/>
      <c r="D117" s="1">
        <f>SUM(OSRRefD22_17x_0)</f>
        <v>1174.22</v>
      </c>
      <c r="E117" s="1"/>
      <c r="F117" s="5">
        <f t="shared" ref="F117:F121" si="68">IF(D$12=0,0,D117/D$12)</f>
        <v>1.5464249146909378E-3</v>
      </c>
      <c r="G117" s="1"/>
      <c r="H117" s="1">
        <f>SUM(OSRRefH22_17x_0)</f>
        <v>1766</v>
      </c>
      <c r="I117" s="1"/>
      <c r="J117" s="5">
        <f t="shared" ref="J117:J121" si="69">IF(H$12=0,0,H117/H$12)</f>
        <v>1.6678251409057254E-3</v>
      </c>
      <c r="K117" s="1"/>
      <c r="L117" s="1">
        <f t="shared" ref="L117:L121" si="70">+D117-H117</f>
        <v>-591.78</v>
      </c>
      <c r="M117" s="1"/>
      <c r="N117" s="5">
        <f t="shared" ref="N117:N121" si="71">IF(H117=0,0,L117/H117)</f>
        <v>-0.33509626274065685</v>
      </c>
      <c r="O117" s="14"/>
      <c r="P117" s="1">
        <f>SUM(OSRRefP22_17x_0)</f>
        <v>9131.2100000000009</v>
      </c>
      <c r="Q117" s="1"/>
      <c r="R117" s="5">
        <f t="shared" ref="R117:R121" si="72">IF(P$12=0,0,P117/P$12)</f>
        <v>3.1150875497037533E-3</v>
      </c>
      <c r="S117" s="1"/>
      <c r="T117" s="1">
        <f>SUM(OSRRefT22_17x_0)</f>
        <v>19360</v>
      </c>
      <c r="U117" s="1"/>
      <c r="V117" s="5">
        <f t="shared" ref="V117:V121" si="73">IF(T$12=0,0,T117/T$12)</f>
        <v>4.0466290388691678E-3</v>
      </c>
      <c r="W117" s="1"/>
      <c r="X117" s="1">
        <f t="shared" ref="X117:X121" si="74">+P117-T117</f>
        <v>-10228.789999999999</v>
      </c>
      <c r="Y117" s="1"/>
      <c r="Z117" s="5">
        <f t="shared" ref="Z117:Z121" si="75">IF(T117=0,0,X117/T117)</f>
        <v>-0.52834659090909086</v>
      </c>
    </row>
    <row r="118" spans="1:26" s="24" customFormat="1" hidden="1" outlineLevel="2" x14ac:dyDescent="0.25">
      <c r="A118" s="29"/>
      <c r="B118" s="11" t="str">
        <f>CONCATENATE("          ", "6252", " - ", "ROYALTY DUE CSTV")</f>
        <v xml:space="preserve">          6252 - ROYALTY DUE CSTV</v>
      </c>
      <c r="C118" s="11"/>
      <c r="D118" s="7"/>
      <c r="E118" s="2"/>
      <c r="F118" s="6">
        <f t="shared" si="68"/>
        <v>0</v>
      </c>
      <c r="G118" s="2"/>
      <c r="H118" s="7">
        <v>1266</v>
      </c>
      <c r="I118" s="2"/>
      <c r="J118" s="6">
        <f t="shared" si="69"/>
        <v>1.1956209673763582E-3</v>
      </c>
      <c r="K118" s="2"/>
      <c r="L118" s="7">
        <f t="shared" si="70"/>
        <v>-1266</v>
      </c>
      <c r="M118" s="2"/>
      <c r="N118" s="6">
        <f t="shared" si="71"/>
        <v>-1</v>
      </c>
      <c r="O118" s="11"/>
      <c r="P118" s="7"/>
      <c r="Q118" s="2"/>
      <c r="R118" s="6">
        <f t="shared" si="72"/>
        <v>0</v>
      </c>
      <c r="S118" s="2"/>
      <c r="T118" s="7">
        <v>4188</v>
      </c>
      <c r="U118" s="2"/>
      <c r="V118" s="6">
        <f t="shared" si="73"/>
        <v>8.7537615778843366E-4</v>
      </c>
      <c r="W118" s="2"/>
      <c r="X118" s="7">
        <f t="shared" si="74"/>
        <v>-4188</v>
      </c>
      <c r="Y118" s="2"/>
      <c r="Z118" s="6">
        <f t="shared" si="75"/>
        <v>-1</v>
      </c>
    </row>
    <row r="119" spans="1:26" s="24" customFormat="1" hidden="1" outlineLevel="2" x14ac:dyDescent="0.25">
      <c r="A119" s="29"/>
      <c r="B119" s="11" t="str">
        <f>CONCATENATE("          ", "6253", " - ", "ROYALTY DUE ATHLETICS-LRG")</f>
        <v xml:space="preserve">          6253 - ROYALTY DUE ATHLETICS-LRG</v>
      </c>
      <c r="C119" s="11"/>
      <c r="D119" s="7"/>
      <c r="E119" s="2"/>
      <c r="F119" s="6">
        <f t="shared" si="68"/>
        <v>0</v>
      </c>
      <c r="G119" s="2"/>
      <c r="H119" s="7">
        <v>0</v>
      </c>
      <c r="I119" s="2"/>
      <c r="J119" s="6">
        <f t="shared" si="69"/>
        <v>0</v>
      </c>
      <c r="K119" s="2"/>
      <c r="L119" s="7">
        <f t="shared" si="70"/>
        <v>0</v>
      </c>
      <c r="M119" s="2"/>
      <c r="N119" s="6">
        <f t="shared" si="71"/>
        <v>0</v>
      </c>
      <c r="O119" s="11"/>
      <c r="P119" s="7">
        <v>14376.54</v>
      </c>
      <c r="Q119" s="2"/>
      <c r="R119" s="6">
        <f t="shared" si="72"/>
        <v>4.9045176665324748E-3</v>
      </c>
      <c r="S119" s="2"/>
      <c r="T119" s="7">
        <v>5672</v>
      </c>
      <c r="U119" s="2"/>
      <c r="V119" s="6">
        <f t="shared" si="73"/>
        <v>1.1855619787430743E-3</v>
      </c>
      <c r="W119" s="2"/>
      <c r="X119" s="7">
        <f t="shared" si="74"/>
        <v>8704.5400000000009</v>
      </c>
      <c r="Y119" s="2"/>
      <c r="Z119" s="6">
        <f t="shared" si="75"/>
        <v>1.5346509167842033</v>
      </c>
    </row>
    <row r="120" spans="1:26" s="24" customFormat="1" hidden="1" outlineLevel="2" x14ac:dyDescent="0.25">
      <c r="A120" s="29"/>
      <c r="B120" s="11" t="str">
        <f>CONCATENATE("          ", "6254", " - ", "ROYALTY &amp; COMMISSIONS")</f>
        <v xml:space="preserve">          6254 - ROYALTY &amp; COMMISSIONS</v>
      </c>
      <c r="C120" s="11"/>
      <c r="D120" s="7"/>
      <c r="E120" s="2"/>
      <c r="F120" s="6">
        <f t="shared" si="68"/>
        <v>0</v>
      </c>
      <c r="G120" s="2"/>
      <c r="H120" s="7">
        <v>0</v>
      </c>
      <c r="I120" s="2"/>
      <c r="J120" s="6">
        <f t="shared" si="69"/>
        <v>0</v>
      </c>
      <c r="K120" s="2"/>
      <c r="L120" s="7">
        <f t="shared" si="70"/>
        <v>0</v>
      </c>
      <c r="M120" s="2"/>
      <c r="N120" s="6">
        <f t="shared" si="71"/>
        <v>0</v>
      </c>
      <c r="O120" s="11"/>
      <c r="P120" s="7">
        <v>-7027.5</v>
      </c>
      <c r="Q120" s="2"/>
      <c r="R120" s="6">
        <f t="shared" si="72"/>
        <v>-2.3974125833863338E-3</v>
      </c>
      <c r="S120" s="2"/>
      <c r="T120" s="7">
        <v>0</v>
      </c>
      <c r="U120" s="2"/>
      <c r="V120" s="6">
        <f t="shared" si="73"/>
        <v>0</v>
      </c>
      <c r="W120" s="2"/>
      <c r="X120" s="7">
        <f t="shared" si="74"/>
        <v>-7027.5</v>
      </c>
      <c r="Y120" s="2"/>
      <c r="Z120" s="6">
        <f t="shared" si="75"/>
        <v>0</v>
      </c>
    </row>
    <row r="121" spans="1:26" s="24" customFormat="1" hidden="1" outlineLevel="2" x14ac:dyDescent="0.25">
      <c r="A121" s="29"/>
      <c r="B121" s="11" t="str">
        <f>CONCATENATE("          ", "6259", " - ", "ROYALTY &amp; COMMISSIONS")</f>
        <v xml:space="preserve">          6259 - ROYALTY &amp; COMMISSIONS</v>
      </c>
      <c r="C121" s="11"/>
      <c r="D121" s="7">
        <v>1174.22</v>
      </c>
      <c r="E121" s="2"/>
      <c r="F121" s="6">
        <f t="shared" si="68"/>
        <v>1.5464249146909378E-3</v>
      </c>
      <c r="G121" s="2"/>
      <c r="H121" s="7">
        <v>500</v>
      </c>
      <c r="I121" s="2"/>
      <c r="J121" s="6">
        <f t="shared" si="69"/>
        <v>4.722041735293673E-4</v>
      </c>
      <c r="K121" s="2"/>
      <c r="L121" s="7">
        <f t="shared" si="70"/>
        <v>674.22</v>
      </c>
      <c r="M121" s="2"/>
      <c r="N121" s="6">
        <f t="shared" si="71"/>
        <v>1.3484400000000001</v>
      </c>
      <c r="O121" s="11"/>
      <c r="P121" s="7">
        <v>1782.17</v>
      </c>
      <c r="Q121" s="2"/>
      <c r="R121" s="6">
        <f t="shared" si="72"/>
        <v>6.0798246655761261E-4</v>
      </c>
      <c r="S121" s="2"/>
      <c r="T121" s="7">
        <v>9500</v>
      </c>
      <c r="U121" s="2"/>
      <c r="V121" s="6">
        <f t="shared" si="73"/>
        <v>1.9856909023376599E-3</v>
      </c>
      <c r="W121" s="2"/>
      <c r="X121" s="7">
        <f t="shared" si="74"/>
        <v>-7717.83</v>
      </c>
      <c r="Y121" s="2"/>
      <c r="Z121" s="6">
        <f t="shared" si="75"/>
        <v>-0.81240315789473683</v>
      </c>
    </row>
    <row r="122" spans="1:26" s="28" customFormat="1" outlineLevel="1" collapsed="1" x14ac:dyDescent="0.25">
      <c r="A122" s="27"/>
      <c r="B122" s="14" t="str">
        <f>CONCATENATE("     ","Services                                          ")</f>
        <v xml:space="preserve">     Services                                          </v>
      </c>
      <c r="C122" s="14"/>
      <c r="D122" s="1">
        <f>SUM(OSRRefD22_18x_0)</f>
        <v>4255.71</v>
      </c>
      <c r="E122" s="1"/>
      <c r="F122" s="5">
        <f t="shared" ref="F122:F125" si="76">IF(D$12=0,0,D122/D$12)</f>
        <v>5.6046873445345603E-3</v>
      </c>
      <c r="G122" s="1"/>
      <c r="H122" s="1">
        <f>SUM(OSRRefH22_18x_0)</f>
        <v>4420</v>
      </c>
      <c r="I122" s="1"/>
      <c r="J122" s="5">
        <f t="shared" ref="J122:J125" si="77">IF(H$12=0,0,H122/H$12)</f>
        <v>4.1742848939996073E-3</v>
      </c>
      <c r="K122" s="1"/>
      <c r="L122" s="1">
        <f t="shared" ref="L122:L125" si="78">+D122-H122</f>
        <v>-164.28999999999996</v>
      </c>
      <c r="M122" s="1"/>
      <c r="N122" s="5">
        <f t="shared" ref="N122:N125" si="79">IF(H122=0,0,L122/H122)</f>
        <v>-3.7169683257918543E-2</v>
      </c>
      <c r="O122" s="14"/>
      <c r="P122" s="1">
        <f>SUM(OSRRefP22_18x_0)</f>
        <v>21220.760000000002</v>
      </c>
      <c r="Q122" s="1"/>
      <c r="R122" s="5">
        <f t="shared" ref="R122:R125" si="80">IF(P$12=0,0,P122/P$12)</f>
        <v>7.2394047745316797E-3</v>
      </c>
      <c r="S122" s="1"/>
      <c r="T122" s="1">
        <f>SUM(OSRRefT22_18x_0)</f>
        <v>13140</v>
      </c>
      <c r="U122" s="1"/>
      <c r="V122" s="5">
        <f t="shared" ref="V122:V125" si="81">IF(T$12=0,0,T122/T$12)</f>
        <v>2.7465240480754579E-3</v>
      </c>
      <c r="W122" s="1"/>
      <c r="X122" s="1">
        <f t="shared" ref="X122:X125" si="82">+P122-T122</f>
        <v>8080.760000000002</v>
      </c>
      <c r="Y122" s="1"/>
      <c r="Z122" s="5">
        <f t="shared" ref="Z122:Z125" si="83">IF(T122=0,0,X122/T122)</f>
        <v>0.61497412480974145</v>
      </c>
    </row>
    <row r="123" spans="1:26" s="24" customFormat="1" hidden="1" outlineLevel="2" x14ac:dyDescent="0.25">
      <c r="A123" s="29"/>
      <c r="B123" s="11" t="str">
        <f>CONCATENATE("          ", "6282", " - ", "JANITORIAL/EXTERMINATOR EXPENS")</f>
        <v xml:space="preserve">          6282 - JANITORIAL/EXTERMINATOR EXPENS</v>
      </c>
      <c r="C123" s="11"/>
      <c r="D123" s="7">
        <v>684.57</v>
      </c>
      <c r="E123" s="2"/>
      <c r="F123" s="6">
        <f t="shared" si="76"/>
        <v>9.0156538284987095E-4</v>
      </c>
      <c r="G123" s="2"/>
      <c r="H123" s="7">
        <v>4300</v>
      </c>
      <c r="I123" s="2"/>
      <c r="J123" s="6">
        <f t="shared" si="77"/>
        <v>4.0609558923525588E-3</v>
      </c>
      <c r="K123" s="2"/>
      <c r="L123" s="7">
        <f t="shared" si="78"/>
        <v>-3615.43</v>
      </c>
      <c r="M123" s="2"/>
      <c r="N123" s="6">
        <f t="shared" si="79"/>
        <v>-0.84079767441860465</v>
      </c>
      <c r="O123" s="11"/>
      <c r="P123" s="7">
        <v>975.57</v>
      </c>
      <c r="Q123" s="2"/>
      <c r="R123" s="6">
        <f t="shared" si="80"/>
        <v>3.3281306210945652E-4</v>
      </c>
      <c r="S123" s="2"/>
      <c r="T123" s="7">
        <v>12900</v>
      </c>
      <c r="U123" s="2"/>
      <c r="V123" s="6">
        <f t="shared" si="81"/>
        <v>2.6963592252795591E-3</v>
      </c>
      <c r="W123" s="2"/>
      <c r="X123" s="7">
        <f t="shared" si="82"/>
        <v>-11924.43</v>
      </c>
      <c r="Y123" s="2"/>
      <c r="Z123" s="6">
        <f t="shared" si="83"/>
        <v>-0.92437441860465119</v>
      </c>
    </row>
    <row r="124" spans="1:26" s="24" customFormat="1" hidden="1" outlineLevel="2" x14ac:dyDescent="0.25">
      <c r="A124" s="29"/>
      <c r="B124" s="11" t="str">
        <f>CONCATENATE("          ", "6284", " - ", "TRASH REMOVAL EXPENSE")</f>
        <v xml:space="preserve">          6284 - TRASH REMOVAL EXPENSE</v>
      </c>
      <c r="C124" s="11"/>
      <c r="D124" s="7">
        <v>149.69999999999999</v>
      </c>
      <c r="E124" s="2"/>
      <c r="F124" s="6">
        <f t="shared" si="76"/>
        <v>1.9715199002676959E-4</v>
      </c>
      <c r="G124" s="2"/>
      <c r="H124" s="7">
        <v>120</v>
      </c>
      <c r="I124" s="2"/>
      <c r="J124" s="6">
        <f t="shared" si="77"/>
        <v>1.1332900164704815E-4</v>
      </c>
      <c r="K124" s="2"/>
      <c r="L124" s="7">
        <f t="shared" si="78"/>
        <v>29.699999999999989</v>
      </c>
      <c r="M124" s="2"/>
      <c r="N124" s="6">
        <f t="shared" si="79"/>
        <v>0.24749999999999991</v>
      </c>
      <c r="O124" s="11"/>
      <c r="P124" s="7">
        <v>441.97</v>
      </c>
      <c r="Q124" s="2"/>
      <c r="R124" s="6">
        <f t="shared" si="80"/>
        <v>1.5077686794439814E-4</v>
      </c>
      <c r="S124" s="2"/>
      <c r="T124" s="7">
        <v>240</v>
      </c>
      <c r="U124" s="2"/>
      <c r="V124" s="6">
        <f t="shared" si="81"/>
        <v>5.0164822795898772E-5</v>
      </c>
      <c r="W124" s="2"/>
      <c r="X124" s="7">
        <f t="shared" si="82"/>
        <v>201.97000000000003</v>
      </c>
      <c r="Y124" s="2"/>
      <c r="Z124" s="6">
        <f t="shared" si="83"/>
        <v>0.84154166666666674</v>
      </c>
    </row>
    <row r="125" spans="1:26" s="24" customFormat="1" hidden="1" outlineLevel="2" x14ac:dyDescent="0.25">
      <c r="A125" s="29"/>
      <c r="B125" s="11" t="str">
        <f>CONCATENATE("          ", "6285", " - ", "JANITORIAL SERVICES")</f>
        <v xml:space="preserve">          6285 - JANITORIAL SERVICES</v>
      </c>
      <c r="C125" s="11"/>
      <c r="D125" s="7">
        <v>3421.44</v>
      </c>
      <c r="E125" s="2"/>
      <c r="F125" s="6">
        <f t="shared" si="76"/>
        <v>4.5059699716579193E-3</v>
      </c>
      <c r="G125" s="2"/>
      <c r="H125" s="7"/>
      <c r="I125" s="2"/>
      <c r="J125" s="6">
        <f t="shared" si="77"/>
        <v>0</v>
      </c>
      <c r="K125" s="2"/>
      <c r="L125" s="7">
        <f t="shared" si="78"/>
        <v>3421.44</v>
      </c>
      <c r="M125" s="2"/>
      <c r="N125" s="6">
        <f t="shared" si="79"/>
        <v>0</v>
      </c>
      <c r="O125" s="11"/>
      <c r="P125" s="7">
        <v>19803.22</v>
      </c>
      <c r="Q125" s="2"/>
      <c r="R125" s="6">
        <f t="shared" si="80"/>
        <v>6.7558148444778251E-3</v>
      </c>
      <c r="S125" s="2"/>
      <c r="T125" s="7"/>
      <c r="U125" s="2"/>
      <c r="V125" s="6">
        <f t="shared" si="81"/>
        <v>0</v>
      </c>
      <c r="W125" s="2"/>
      <c r="X125" s="7">
        <f t="shared" si="82"/>
        <v>19803.22</v>
      </c>
      <c r="Y125" s="2"/>
      <c r="Z125" s="6">
        <f t="shared" si="83"/>
        <v>0</v>
      </c>
    </row>
    <row r="126" spans="1:26" s="28" customFormat="1" outlineLevel="1" collapsed="1" x14ac:dyDescent="0.25">
      <c r="A126" s="27"/>
      <c r="B126" s="14" t="str">
        <f>CONCATENATE("     ","Subscriptions &amp; Dues                              ")</f>
        <v xml:space="preserve">     Subscriptions &amp; Dues                              </v>
      </c>
      <c r="C126" s="14"/>
      <c r="D126" s="1">
        <f>SUM(OSRRefD22_19x_0)</f>
        <v>-72.56</v>
      </c>
      <c r="E126" s="1"/>
      <c r="F126" s="5">
        <f t="shared" ref="F126:F128" si="84">IF(D$12=0,0,D126/D$12)</f>
        <v>-9.5560109528005358E-5</v>
      </c>
      <c r="G126" s="1"/>
      <c r="H126" s="1">
        <f>SUM(OSRRefH22_19x_0)</f>
        <v>381</v>
      </c>
      <c r="I126" s="1"/>
      <c r="J126" s="5">
        <f t="shared" ref="J126:J128" si="85">IF(H$12=0,0,H126/H$12)</f>
        <v>3.5981958022937788E-4</v>
      </c>
      <c r="K126" s="1"/>
      <c r="L126" s="1">
        <f t="shared" ref="L126:L128" si="86">+D126-H126</f>
        <v>-453.56</v>
      </c>
      <c r="M126" s="1"/>
      <c r="N126" s="5">
        <f t="shared" ref="N126:N128" si="87">IF(H126=0,0,L126/H126)</f>
        <v>-1.1904461942257218</v>
      </c>
      <c r="O126" s="14"/>
      <c r="P126" s="1">
        <f>SUM(OSRRefP22_19x_0)</f>
        <v>52.76</v>
      </c>
      <c r="Q126" s="1"/>
      <c r="R126" s="5">
        <f t="shared" ref="R126:R128" si="88">IF(P$12=0,0,P126/P$12)</f>
        <v>1.799893104225727E-5</v>
      </c>
      <c r="S126" s="1"/>
      <c r="T126" s="1">
        <f>SUM(OSRRefT22_19x_0)</f>
        <v>3518</v>
      </c>
      <c r="U126" s="1"/>
      <c r="V126" s="5">
        <f t="shared" ref="V126:V128" si="89">IF(T$12=0,0,T126/T$12)</f>
        <v>7.3533269414988286E-4</v>
      </c>
      <c r="W126" s="1"/>
      <c r="X126" s="1">
        <f t="shared" ref="X126:X128" si="90">+P126-T126</f>
        <v>-3465.24</v>
      </c>
      <c r="Y126" s="1"/>
      <c r="Z126" s="5">
        <f t="shared" ref="Z126:Z128" si="91">IF(T126=0,0,X126/T126)</f>
        <v>-0.98500284252416137</v>
      </c>
    </row>
    <row r="127" spans="1:26" s="24" customFormat="1" hidden="1" outlineLevel="2" x14ac:dyDescent="0.25">
      <c r="A127" s="29"/>
      <c r="B127" s="11" t="str">
        <f>CONCATENATE("          ", "6258", " - ", "MEMBERSHIP DUES")</f>
        <v xml:space="preserve">          6258 - MEMBERSHIP DUES</v>
      </c>
      <c r="C127" s="11"/>
      <c r="D127" s="7">
        <v>-72.56</v>
      </c>
      <c r="E127" s="2"/>
      <c r="F127" s="6">
        <f t="shared" si="84"/>
        <v>-9.5560109528005358E-5</v>
      </c>
      <c r="G127" s="2"/>
      <c r="H127" s="7">
        <v>300</v>
      </c>
      <c r="I127" s="2"/>
      <c r="J127" s="6">
        <f t="shared" si="85"/>
        <v>2.8332250411762039E-4</v>
      </c>
      <c r="K127" s="2"/>
      <c r="L127" s="7">
        <f t="shared" si="86"/>
        <v>-372.56</v>
      </c>
      <c r="M127" s="2"/>
      <c r="N127" s="6">
        <f t="shared" si="87"/>
        <v>-1.2418666666666667</v>
      </c>
      <c r="O127" s="11"/>
      <c r="P127" s="7">
        <v>52.76</v>
      </c>
      <c r="Q127" s="2"/>
      <c r="R127" s="6">
        <f t="shared" si="88"/>
        <v>1.799893104225727E-5</v>
      </c>
      <c r="S127" s="2"/>
      <c r="T127" s="7">
        <v>3295</v>
      </c>
      <c r="U127" s="2"/>
      <c r="V127" s="6">
        <f t="shared" si="89"/>
        <v>6.8872121296869356E-4</v>
      </c>
      <c r="W127" s="2"/>
      <c r="X127" s="7">
        <f t="shared" si="90"/>
        <v>-3242.24</v>
      </c>
      <c r="Y127" s="2"/>
      <c r="Z127" s="6">
        <f t="shared" si="91"/>
        <v>-0.98398786039453712</v>
      </c>
    </row>
    <row r="128" spans="1:26" s="24" customFormat="1" hidden="1" outlineLevel="2" x14ac:dyDescent="0.25">
      <c r="A128" s="29"/>
      <c r="B128" s="11" t="str">
        <f>CONCATENATE("          ", "6275", " - ", "SUBSCRIPTIONS")</f>
        <v xml:space="preserve">          6275 - SUBSCRIPTIONS</v>
      </c>
      <c r="C128" s="11"/>
      <c r="D128" s="7"/>
      <c r="E128" s="2"/>
      <c r="F128" s="6">
        <f t="shared" si="84"/>
        <v>0</v>
      </c>
      <c r="G128" s="2"/>
      <c r="H128" s="7">
        <v>81</v>
      </c>
      <c r="I128" s="2"/>
      <c r="J128" s="6">
        <f t="shared" si="85"/>
        <v>7.6497076111757504E-5</v>
      </c>
      <c r="K128" s="2"/>
      <c r="L128" s="7">
        <f t="shared" si="86"/>
        <v>-81</v>
      </c>
      <c r="M128" s="2"/>
      <c r="N128" s="6">
        <f t="shared" si="87"/>
        <v>-1</v>
      </c>
      <c r="O128" s="11"/>
      <c r="P128" s="7"/>
      <c r="Q128" s="2"/>
      <c r="R128" s="6">
        <f t="shared" si="88"/>
        <v>0</v>
      </c>
      <c r="S128" s="2"/>
      <c r="T128" s="7">
        <v>223</v>
      </c>
      <c r="U128" s="2"/>
      <c r="V128" s="6">
        <f t="shared" si="89"/>
        <v>4.6611481181189279E-5</v>
      </c>
      <c r="W128" s="2"/>
      <c r="X128" s="7">
        <f t="shared" si="90"/>
        <v>-223</v>
      </c>
      <c r="Y128" s="2"/>
      <c r="Z128" s="6">
        <f t="shared" si="91"/>
        <v>-1</v>
      </c>
    </row>
    <row r="129" spans="1:26" s="28" customFormat="1" outlineLevel="1" collapsed="1" x14ac:dyDescent="0.25">
      <c r="A129" s="27"/>
      <c r="B129" s="14" t="str">
        <f>CONCATENATE("     ","Supplies                                          ")</f>
        <v xml:space="preserve">     Supplies                                          </v>
      </c>
      <c r="C129" s="14"/>
      <c r="D129" s="1">
        <f>SUM(OSRRefD22_20x_0)</f>
        <v>5201.7299999999996</v>
      </c>
      <c r="E129" s="1"/>
      <c r="F129" s="5">
        <f t="shared" ref="F129:F136" si="92">IF(D$12=0,0,D129/D$12)</f>
        <v>6.850577295136594E-3</v>
      </c>
      <c r="G129" s="1"/>
      <c r="H129" s="1">
        <f>SUM(OSRRefH22_20x_0)</f>
        <v>15890</v>
      </c>
      <c r="I129" s="1"/>
      <c r="J129" s="5">
        <f t="shared" ref="J129:J136" si="93">IF(H$12=0,0,H129/H$12)</f>
        <v>1.5006648634763293E-2</v>
      </c>
      <c r="K129" s="1"/>
      <c r="L129" s="1">
        <f t="shared" ref="L129:L136" si="94">+D129-H129</f>
        <v>-10688.27</v>
      </c>
      <c r="M129" s="1"/>
      <c r="N129" s="5">
        <f t="shared" ref="N129:N136" si="95">IF(H129=0,0,L129/H129)</f>
        <v>-0.67264128382630584</v>
      </c>
      <c r="O129" s="14"/>
      <c r="P129" s="1">
        <f>SUM(OSRRefP22_20x_0)</f>
        <v>30645.72</v>
      </c>
      <c r="Q129" s="1"/>
      <c r="R129" s="5">
        <f t="shared" ref="R129:R136" si="96">IF(P$12=0,0,P129/P$12)</f>
        <v>1.0454704340794627E-2</v>
      </c>
      <c r="S129" s="1"/>
      <c r="T129" s="1">
        <f>SUM(OSRRefT22_20x_0)</f>
        <v>34370</v>
      </c>
      <c r="U129" s="1"/>
      <c r="V129" s="5">
        <f t="shared" ref="V129:V136" si="97">IF(T$12=0,0,T129/T$12)</f>
        <v>7.1840206645626707E-3</v>
      </c>
      <c r="W129" s="1"/>
      <c r="X129" s="1">
        <f t="shared" ref="X129:X136" si="98">+P129-T129</f>
        <v>-3724.2799999999988</v>
      </c>
      <c r="Y129" s="1"/>
      <c r="Z129" s="5">
        <f t="shared" ref="Z129:Z136" si="99">IF(T129=0,0,X129/T129)</f>
        <v>-0.10835845213849284</v>
      </c>
    </row>
    <row r="130" spans="1:26" s="24" customFormat="1" hidden="1" outlineLevel="2" x14ac:dyDescent="0.25">
      <c r="A130" s="29"/>
      <c r="B130" s="11" t="str">
        <f>CONCATENATE("          ", "6234", " - ", "EXPENDABLE SUPPLIES &amp; EQUIPMEN")</f>
        <v xml:space="preserve">          6234 - EXPENDABLE SUPPLIES &amp; EQUIPMEN</v>
      </c>
      <c r="C130" s="11"/>
      <c r="D130" s="7"/>
      <c r="E130" s="2"/>
      <c r="F130" s="6">
        <f t="shared" si="92"/>
        <v>0</v>
      </c>
      <c r="G130" s="2"/>
      <c r="H130" s="7">
        <v>300</v>
      </c>
      <c r="I130" s="2"/>
      <c r="J130" s="6">
        <f t="shared" si="93"/>
        <v>2.8332250411762039E-4</v>
      </c>
      <c r="K130" s="2"/>
      <c r="L130" s="7">
        <f t="shared" si="94"/>
        <v>-300</v>
      </c>
      <c r="M130" s="2"/>
      <c r="N130" s="6">
        <f t="shared" si="95"/>
        <v>-1</v>
      </c>
      <c r="O130" s="11"/>
      <c r="P130" s="7"/>
      <c r="Q130" s="2"/>
      <c r="R130" s="6">
        <f t="shared" si="96"/>
        <v>0</v>
      </c>
      <c r="S130" s="2"/>
      <c r="T130" s="7">
        <v>300</v>
      </c>
      <c r="U130" s="2"/>
      <c r="V130" s="6">
        <f t="shared" si="97"/>
        <v>6.2706028494873472E-5</v>
      </c>
      <c r="W130" s="2"/>
      <c r="X130" s="7">
        <f t="shared" si="98"/>
        <v>-300</v>
      </c>
      <c r="Y130" s="2"/>
      <c r="Z130" s="6">
        <f t="shared" si="99"/>
        <v>-1</v>
      </c>
    </row>
    <row r="131" spans="1:26" s="24" customFormat="1" hidden="1" outlineLevel="2" x14ac:dyDescent="0.25">
      <c r="A131" s="29"/>
      <c r="B131" s="11" t="str">
        <f>CONCATENATE("          ", "6235", " - ", "COVID-19 EXPENSES")</f>
        <v xml:space="preserve">          6235 - COVID-19 EXPENSES</v>
      </c>
      <c r="C131" s="11"/>
      <c r="D131" s="7">
        <v>462.49</v>
      </c>
      <c r="E131" s="2"/>
      <c r="F131" s="6">
        <f t="shared" si="92"/>
        <v>6.090903397961301E-4</v>
      </c>
      <c r="G131" s="2"/>
      <c r="H131" s="7">
        <v>125</v>
      </c>
      <c r="I131" s="2"/>
      <c r="J131" s="6">
        <f t="shared" si="93"/>
        <v>1.1805104338234183E-4</v>
      </c>
      <c r="K131" s="2"/>
      <c r="L131" s="7">
        <f t="shared" si="94"/>
        <v>337.49</v>
      </c>
      <c r="M131" s="2"/>
      <c r="N131" s="6">
        <f t="shared" si="95"/>
        <v>2.6999200000000001</v>
      </c>
      <c r="O131" s="11"/>
      <c r="P131" s="7">
        <v>3430.32</v>
      </c>
      <c r="Q131" s="2"/>
      <c r="R131" s="6">
        <f t="shared" si="96"/>
        <v>1.1702443732539037E-3</v>
      </c>
      <c r="S131" s="2"/>
      <c r="T131" s="7">
        <v>375</v>
      </c>
      <c r="U131" s="2"/>
      <c r="V131" s="6">
        <f t="shared" si="97"/>
        <v>7.8382535618591834E-5</v>
      </c>
      <c r="W131" s="2"/>
      <c r="X131" s="7">
        <f t="shared" si="98"/>
        <v>3055.32</v>
      </c>
      <c r="Y131" s="2"/>
      <c r="Z131" s="6">
        <f t="shared" si="99"/>
        <v>8.1475200000000001</v>
      </c>
    </row>
    <row r="132" spans="1:26" s="24" customFormat="1" hidden="1" outlineLevel="2" x14ac:dyDescent="0.25">
      <c r="A132" s="29"/>
      <c r="B132" s="11" t="str">
        <f>CONCATENATE("          ", "6237", " - ", "JANITORIAL SUPPLIES")</f>
        <v xml:space="preserve">          6237 - JANITORIAL SUPPLIES</v>
      </c>
      <c r="C132" s="11"/>
      <c r="D132" s="7">
        <v>247</v>
      </c>
      <c r="E132" s="2"/>
      <c r="F132" s="6">
        <f t="shared" si="92"/>
        <v>3.2529419864136335E-4</v>
      </c>
      <c r="G132" s="2"/>
      <c r="H132" s="7">
        <v>10</v>
      </c>
      <c r="I132" s="2"/>
      <c r="J132" s="6">
        <f t="shared" si="93"/>
        <v>9.4440834705873465E-6</v>
      </c>
      <c r="K132" s="2"/>
      <c r="L132" s="7">
        <f t="shared" si="94"/>
        <v>237</v>
      </c>
      <c r="M132" s="2"/>
      <c r="N132" s="6">
        <f t="shared" si="95"/>
        <v>23.7</v>
      </c>
      <c r="O132" s="11"/>
      <c r="P132" s="7">
        <v>2072.69</v>
      </c>
      <c r="Q132" s="2"/>
      <c r="R132" s="6">
        <f t="shared" si="96"/>
        <v>7.0709257736876845E-4</v>
      </c>
      <c r="S132" s="2"/>
      <c r="T132" s="7">
        <v>70</v>
      </c>
      <c r="U132" s="2"/>
      <c r="V132" s="6">
        <f t="shared" si="97"/>
        <v>1.4631406648803809E-5</v>
      </c>
      <c r="W132" s="2"/>
      <c r="X132" s="7">
        <f t="shared" si="98"/>
        <v>2002.69</v>
      </c>
      <c r="Y132" s="2"/>
      <c r="Z132" s="6">
        <f t="shared" si="99"/>
        <v>28.609857142857145</v>
      </c>
    </row>
    <row r="133" spans="1:26" s="24" customFormat="1" hidden="1" outlineLevel="2" x14ac:dyDescent="0.25">
      <c r="A133" s="29"/>
      <c r="B133" s="11" t="str">
        <f>CONCATENATE("          ", "6241", " - ", "OFFICE EXPENSE")</f>
        <v xml:space="preserve">          6241 - OFFICE EXPENSE</v>
      </c>
      <c r="C133" s="11"/>
      <c r="D133" s="7">
        <v>128.32</v>
      </c>
      <c r="E133" s="2"/>
      <c r="F133" s="6">
        <f t="shared" si="92"/>
        <v>1.689949456261528E-4</v>
      </c>
      <c r="G133" s="2"/>
      <c r="H133" s="7">
        <v>580</v>
      </c>
      <c r="I133" s="2"/>
      <c r="J133" s="6">
        <f t="shared" si="93"/>
        <v>5.4775684129406614E-4</v>
      </c>
      <c r="K133" s="2"/>
      <c r="L133" s="7">
        <f t="shared" si="94"/>
        <v>-451.68</v>
      </c>
      <c r="M133" s="2"/>
      <c r="N133" s="6">
        <f t="shared" si="95"/>
        <v>-0.77875862068965518</v>
      </c>
      <c r="O133" s="11"/>
      <c r="P133" s="7">
        <v>6186.34</v>
      </c>
      <c r="Q133" s="2"/>
      <c r="R133" s="6">
        <f t="shared" si="96"/>
        <v>2.1104531285814601E-3</v>
      </c>
      <c r="S133" s="2"/>
      <c r="T133" s="7">
        <v>2040</v>
      </c>
      <c r="U133" s="2"/>
      <c r="V133" s="6">
        <f t="shared" si="97"/>
        <v>4.2640099376513958E-4</v>
      </c>
      <c r="W133" s="2"/>
      <c r="X133" s="7">
        <f t="shared" si="98"/>
        <v>4146.34</v>
      </c>
      <c r="Y133" s="2"/>
      <c r="Z133" s="6">
        <f t="shared" si="99"/>
        <v>2.0325196078431373</v>
      </c>
    </row>
    <row r="134" spans="1:26" s="24" customFormat="1" hidden="1" outlineLevel="2" x14ac:dyDescent="0.25">
      <c r="A134" s="29"/>
      <c r="B134" s="11" t="str">
        <f>CONCATENATE("          ", "6243", " - ", "PAPER SUPPLIES")</f>
        <v xml:space="preserve">          6243 - PAPER SUPPLIES</v>
      </c>
      <c r="C134" s="11"/>
      <c r="D134" s="7"/>
      <c r="E134" s="2"/>
      <c r="F134" s="6">
        <f t="shared" si="92"/>
        <v>0</v>
      </c>
      <c r="G134" s="2"/>
      <c r="H134" s="7">
        <v>7500</v>
      </c>
      <c r="I134" s="2"/>
      <c r="J134" s="6">
        <f t="shared" si="93"/>
        <v>7.0830626029405102E-3</v>
      </c>
      <c r="K134" s="2"/>
      <c r="L134" s="7">
        <f t="shared" si="94"/>
        <v>-7500</v>
      </c>
      <c r="M134" s="2"/>
      <c r="N134" s="6">
        <f t="shared" si="95"/>
        <v>-1</v>
      </c>
      <c r="O134" s="11"/>
      <c r="P134" s="7">
        <v>3450.92</v>
      </c>
      <c r="Q134" s="2"/>
      <c r="R134" s="6">
        <f t="shared" si="96"/>
        <v>1.1772720074364378E-3</v>
      </c>
      <c r="S134" s="2"/>
      <c r="T134" s="7">
        <v>12600</v>
      </c>
      <c r="U134" s="2"/>
      <c r="V134" s="6">
        <f t="shared" si="97"/>
        <v>2.6336531967846859E-3</v>
      </c>
      <c r="W134" s="2"/>
      <c r="X134" s="7">
        <f t="shared" si="98"/>
        <v>-9149.08</v>
      </c>
      <c r="Y134" s="2"/>
      <c r="Z134" s="6">
        <f t="shared" si="99"/>
        <v>-0.72611746031746027</v>
      </c>
    </row>
    <row r="135" spans="1:26" s="24" customFormat="1" hidden="1" outlineLevel="2" x14ac:dyDescent="0.25">
      <c r="A135" s="29"/>
      <c r="B135" s="11" t="str">
        <f>CONCATENATE("          ", "6245", " - ", "PRINTING")</f>
        <v xml:space="preserve">          6245 - PRINTING</v>
      </c>
      <c r="C135" s="11"/>
      <c r="D135" s="7">
        <v>276.43</v>
      </c>
      <c r="E135" s="2"/>
      <c r="F135" s="6">
        <f t="shared" si="92"/>
        <v>3.6405293656045372E-4</v>
      </c>
      <c r="G135" s="2"/>
      <c r="H135" s="7">
        <v>1600</v>
      </c>
      <c r="I135" s="2"/>
      <c r="J135" s="6">
        <f t="shared" si="93"/>
        <v>1.5110533552939755E-3</v>
      </c>
      <c r="K135" s="2"/>
      <c r="L135" s="7">
        <f t="shared" si="94"/>
        <v>-1323.57</v>
      </c>
      <c r="M135" s="2"/>
      <c r="N135" s="6">
        <f t="shared" si="95"/>
        <v>-0.82723124999999997</v>
      </c>
      <c r="O135" s="11"/>
      <c r="P135" s="7">
        <v>-323.75</v>
      </c>
      <c r="Q135" s="2"/>
      <c r="R135" s="6">
        <f t="shared" si="96"/>
        <v>-1.1044643527162227E-4</v>
      </c>
      <c r="S135" s="2"/>
      <c r="T135" s="7">
        <v>1655</v>
      </c>
      <c r="U135" s="2"/>
      <c r="V135" s="6">
        <f t="shared" si="97"/>
        <v>3.4592825719671863E-4</v>
      </c>
      <c r="W135" s="2"/>
      <c r="X135" s="7">
        <f t="shared" si="98"/>
        <v>-1978.75</v>
      </c>
      <c r="Y135" s="2"/>
      <c r="Z135" s="6">
        <f t="shared" si="99"/>
        <v>-1.195619335347432</v>
      </c>
    </row>
    <row r="136" spans="1:26" s="24" customFormat="1" hidden="1" outlineLevel="2" x14ac:dyDescent="0.25">
      <c r="A136" s="29"/>
      <c r="B136" s="11" t="str">
        <f>CONCATENATE("          ", "6247", " - ", "STORE SUPPLIES")</f>
        <v xml:space="preserve">          6247 - STORE SUPPLIES</v>
      </c>
      <c r="C136" s="11"/>
      <c r="D136" s="7">
        <v>4087.49</v>
      </c>
      <c r="E136" s="2"/>
      <c r="F136" s="6">
        <f t="shared" si="92"/>
        <v>5.3831448745124948E-3</v>
      </c>
      <c r="G136" s="2"/>
      <c r="H136" s="7">
        <v>5775</v>
      </c>
      <c r="I136" s="2"/>
      <c r="J136" s="6">
        <f t="shared" si="93"/>
        <v>5.4539582042641924E-3</v>
      </c>
      <c r="K136" s="2"/>
      <c r="L136" s="7">
        <f t="shared" si="94"/>
        <v>-1687.5100000000002</v>
      </c>
      <c r="M136" s="2"/>
      <c r="N136" s="6">
        <f t="shared" si="95"/>
        <v>-0.29220952380952386</v>
      </c>
      <c r="O136" s="11"/>
      <c r="P136" s="7">
        <v>15829.2</v>
      </c>
      <c r="Q136" s="2"/>
      <c r="R136" s="6">
        <f t="shared" si="96"/>
        <v>5.4000886894256788E-3</v>
      </c>
      <c r="S136" s="2"/>
      <c r="T136" s="7">
        <v>17330</v>
      </c>
      <c r="U136" s="2"/>
      <c r="V136" s="6">
        <f t="shared" si="97"/>
        <v>3.6223182460538572E-3</v>
      </c>
      <c r="W136" s="2"/>
      <c r="X136" s="7">
        <f t="shared" si="98"/>
        <v>-1500.7999999999993</v>
      </c>
      <c r="Y136" s="2"/>
      <c r="Z136" s="6">
        <f t="shared" si="99"/>
        <v>-8.6601269474898976E-2</v>
      </c>
    </row>
    <row r="137" spans="1:26" s="28" customFormat="1" outlineLevel="1" collapsed="1" x14ac:dyDescent="0.25">
      <c r="A137" s="27"/>
      <c r="B137" s="14" t="str">
        <f>CONCATENATE("     ","Telephone/Data Lines                              ")</f>
        <v xml:space="preserve">     Telephone/Data Lines                              </v>
      </c>
      <c r="C137" s="14"/>
      <c r="D137" s="1">
        <f>SUM(OSRRefD22_21x_0)</f>
        <v>1721.14</v>
      </c>
      <c r="E137" s="1"/>
      <c r="F137" s="5">
        <f t="shared" ref="F137:F139" si="100">IF(D$12=0,0,D137/D$12)</f>
        <v>2.2667079232777171E-3</v>
      </c>
      <c r="G137" s="1"/>
      <c r="H137" s="1">
        <f>SUM(OSRRefH22_21x_0)</f>
        <v>2160</v>
      </c>
      <c r="I137" s="1"/>
      <c r="J137" s="5">
        <f t="shared" ref="J137:J139" si="101">IF(H$12=0,0,H137/H$12)</f>
        <v>2.039922029646867E-3</v>
      </c>
      <c r="K137" s="1"/>
      <c r="L137" s="1">
        <f t="shared" ref="L137:L139" si="102">+D137-H137</f>
        <v>-438.8599999999999</v>
      </c>
      <c r="M137" s="1"/>
      <c r="N137" s="5">
        <f t="shared" ref="N137:N139" si="103">IF(H137=0,0,L137/H137)</f>
        <v>-0.20317592592592587</v>
      </c>
      <c r="O137" s="14"/>
      <c r="P137" s="1">
        <f>SUM(OSRRefP22_21x_0)</f>
        <v>5864.27</v>
      </c>
      <c r="Q137" s="1"/>
      <c r="R137" s="5">
        <f t="shared" ref="R137:R139" si="104">IF(P$12=0,0,P137/P$12)</f>
        <v>2.0005798207577341E-3</v>
      </c>
      <c r="S137" s="1"/>
      <c r="T137" s="1">
        <f>SUM(OSRRefT22_21x_0)</f>
        <v>6530</v>
      </c>
      <c r="U137" s="1"/>
      <c r="V137" s="5">
        <f t="shared" ref="V137:V139" si="105">IF(T$12=0,0,T137/T$12)</f>
        <v>1.3649012202384125E-3</v>
      </c>
      <c r="W137" s="1"/>
      <c r="X137" s="1">
        <f t="shared" ref="X137:X139" si="106">+P137-T137</f>
        <v>-665.72999999999956</v>
      </c>
      <c r="Y137" s="1"/>
      <c r="Z137" s="5">
        <f t="shared" ref="Z137:Z139" si="107">IF(T137=0,0,X137/T137)</f>
        <v>-0.10194946401225108</v>
      </c>
    </row>
    <row r="138" spans="1:26" s="24" customFormat="1" hidden="1" outlineLevel="2" x14ac:dyDescent="0.25">
      <c r="A138" s="29"/>
      <c r="B138" s="11" t="str">
        <f>CONCATENATE("          ", "6303", " - ", "DATA PHONE LINES")</f>
        <v xml:space="preserve">          6303 - DATA PHONE LINES</v>
      </c>
      <c r="C138" s="11"/>
      <c r="D138" s="7"/>
      <c r="E138" s="2"/>
      <c r="F138" s="6">
        <f t="shared" si="100"/>
        <v>0</v>
      </c>
      <c r="G138" s="2"/>
      <c r="H138" s="7">
        <v>0</v>
      </c>
      <c r="I138" s="2"/>
      <c r="J138" s="6">
        <f t="shared" si="101"/>
        <v>0</v>
      </c>
      <c r="K138" s="2"/>
      <c r="L138" s="7">
        <f t="shared" si="102"/>
        <v>0</v>
      </c>
      <c r="M138" s="2"/>
      <c r="N138" s="6">
        <f t="shared" si="103"/>
        <v>0</v>
      </c>
      <c r="O138" s="11"/>
      <c r="P138" s="7">
        <v>295</v>
      </c>
      <c r="Q138" s="2"/>
      <c r="R138" s="6">
        <f t="shared" si="104"/>
        <v>1.0063845067221181E-4</v>
      </c>
      <c r="S138" s="2"/>
      <c r="T138" s="7">
        <v>0</v>
      </c>
      <c r="U138" s="2"/>
      <c r="V138" s="6">
        <f t="shared" si="105"/>
        <v>0</v>
      </c>
      <c r="W138" s="2"/>
      <c r="X138" s="7">
        <f t="shared" si="106"/>
        <v>295</v>
      </c>
      <c r="Y138" s="2"/>
      <c r="Z138" s="6">
        <f t="shared" si="107"/>
        <v>0</v>
      </c>
    </row>
    <row r="139" spans="1:26" s="24" customFormat="1" hidden="1" outlineLevel="2" x14ac:dyDescent="0.25">
      <c r="A139" s="29"/>
      <c r="B139" s="11" t="str">
        <f>CONCATENATE("          ", "6309", " - ", "TELEPHONE")</f>
        <v xml:space="preserve">          6309 - TELEPHONE</v>
      </c>
      <c r="C139" s="11"/>
      <c r="D139" s="7">
        <v>1721.14</v>
      </c>
      <c r="E139" s="2"/>
      <c r="F139" s="6">
        <f t="shared" si="100"/>
        <v>2.2667079232777171E-3</v>
      </c>
      <c r="G139" s="2"/>
      <c r="H139" s="7">
        <v>2160</v>
      </c>
      <c r="I139" s="2"/>
      <c r="J139" s="6">
        <f t="shared" si="101"/>
        <v>2.039922029646867E-3</v>
      </c>
      <c r="K139" s="2"/>
      <c r="L139" s="7">
        <f t="shared" si="102"/>
        <v>-438.8599999999999</v>
      </c>
      <c r="M139" s="2"/>
      <c r="N139" s="6">
        <f t="shared" si="103"/>
        <v>-0.20317592592592587</v>
      </c>
      <c r="O139" s="11"/>
      <c r="P139" s="7">
        <v>5569.27</v>
      </c>
      <c r="Q139" s="2"/>
      <c r="R139" s="6">
        <f t="shared" si="104"/>
        <v>1.8999413700855224E-3</v>
      </c>
      <c r="S139" s="2"/>
      <c r="T139" s="7">
        <v>6530</v>
      </c>
      <c r="U139" s="2"/>
      <c r="V139" s="6">
        <f t="shared" si="105"/>
        <v>1.3649012202384125E-3</v>
      </c>
      <c r="W139" s="2"/>
      <c r="X139" s="7">
        <f t="shared" si="106"/>
        <v>-960.72999999999956</v>
      </c>
      <c r="Y139" s="2"/>
      <c r="Z139" s="6">
        <f t="shared" si="107"/>
        <v>-0.14712557427258799</v>
      </c>
    </row>
    <row r="140" spans="1:26" s="28" customFormat="1" outlineLevel="1" collapsed="1" x14ac:dyDescent="0.25">
      <c r="A140" s="27"/>
      <c r="B140" s="14" t="str">
        <f>CONCATENATE("     ","Training                                          ")</f>
        <v xml:space="preserve">     Training                                          </v>
      </c>
      <c r="C140" s="14"/>
      <c r="D140" s="1">
        <f>SUM(OSRRefD22_22x_0)</f>
        <v>595</v>
      </c>
      <c r="E140" s="1"/>
      <c r="F140" s="5">
        <f t="shared" ref="F140:F145" si="108">IF(D$12=0,0,D140/D$12)</f>
        <v>7.8360343397413431E-4</v>
      </c>
      <c r="G140" s="1"/>
      <c r="H140" s="1">
        <f>SUM(OSRRefH22_22x_0)</f>
        <v>0</v>
      </c>
      <c r="I140" s="1"/>
      <c r="J140" s="5">
        <f t="shared" ref="J140:J145" si="109">IF(H$12=0,0,H140/H$12)</f>
        <v>0</v>
      </c>
      <c r="K140" s="1"/>
      <c r="L140" s="1">
        <f t="shared" ref="L140:L145" si="110">+D140-H140</f>
        <v>595</v>
      </c>
      <c r="M140" s="1"/>
      <c r="N140" s="5">
        <f t="shared" ref="N140:N145" si="111">IF(H140=0,0,L140/H140)</f>
        <v>0</v>
      </c>
      <c r="O140" s="14"/>
      <c r="P140" s="1">
        <f>SUM(OSRRefP22_22x_0)</f>
        <v>595</v>
      </c>
      <c r="Q140" s="1"/>
      <c r="R140" s="5">
        <f t="shared" ref="R140:R145" si="112">IF(P$12=0,0,P140/P$12)</f>
        <v>2.02982637796495E-4</v>
      </c>
      <c r="S140" s="1"/>
      <c r="T140" s="1">
        <f>SUM(OSRRefT22_22x_0)</f>
        <v>0</v>
      </c>
      <c r="U140" s="1"/>
      <c r="V140" s="5">
        <f t="shared" ref="V140:V145" si="113">IF(T$12=0,0,T140/T$12)</f>
        <v>0</v>
      </c>
      <c r="W140" s="1"/>
      <c r="X140" s="1">
        <f t="shared" ref="X140:X145" si="114">+P140-T140</f>
        <v>595</v>
      </c>
      <c r="Y140" s="1"/>
      <c r="Z140" s="5">
        <f t="shared" ref="Z140:Z145" si="115">IF(T140=0,0,X140/T140)</f>
        <v>0</v>
      </c>
    </row>
    <row r="141" spans="1:26" s="24" customFormat="1" hidden="1" outlineLevel="2" x14ac:dyDescent="0.25">
      <c r="A141" s="29"/>
      <c r="B141" s="11" t="str">
        <f>CONCATENATE("          ", "6376", " - ", "TRAINING")</f>
        <v xml:space="preserve">          6376 - TRAINING</v>
      </c>
      <c r="C141" s="11"/>
      <c r="D141" s="7">
        <v>595</v>
      </c>
      <c r="E141" s="2"/>
      <c r="F141" s="6">
        <f t="shared" si="108"/>
        <v>7.8360343397413431E-4</v>
      </c>
      <c r="G141" s="2"/>
      <c r="H141" s="7"/>
      <c r="I141" s="2"/>
      <c r="J141" s="6">
        <f t="shared" si="109"/>
        <v>0</v>
      </c>
      <c r="K141" s="2"/>
      <c r="L141" s="7">
        <f t="shared" si="110"/>
        <v>595</v>
      </c>
      <c r="M141" s="2"/>
      <c r="N141" s="6">
        <f t="shared" si="111"/>
        <v>0</v>
      </c>
      <c r="O141" s="11"/>
      <c r="P141" s="7">
        <v>595</v>
      </c>
      <c r="Q141" s="2"/>
      <c r="R141" s="6">
        <f t="shared" si="112"/>
        <v>2.02982637796495E-4</v>
      </c>
      <c r="S141" s="2"/>
      <c r="T141" s="7"/>
      <c r="U141" s="2"/>
      <c r="V141" s="6">
        <f t="shared" si="113"/>
        <v>0</v>
      </c>
      <c r="W141" s="2"/>
      <c r="X141" s="7">
        <f t="shared" si="114"/>
        <v>595</v>
      </c>
      <c r="Y141" s="2"/>
      <c r="Z141" s="6">
        <f t="shared" si="115"/>
        <v>0</v>
      </c>
    </row>
    <row r="142" spans="1:26" s="28" customFormat="1" outlineLevel="1" collapsed="1" x14ac:dyDescent="0.25">
      <c r="A142" s="27"/>
      <c r="B142" s="14" t="str">
        <f>CONCATENATE("     ","Travel                                            ")</f>
        <v xml:space="preserve">     Travel                                            </v>
      </c>
      <c r="C142" s="14"/>
      <c r="D142" s="1">
        <f>SUM(OSRRefD22_23x_0)</f>
        <v>27.39</v>
      </c>
      <c r="E142" s="1"/>
      <c r="F142" s="5">
        <f t="shared" si="108"/>
        <v>3.6072097574036202E-5</v>
      </c>
      <c r="G142" s="1"/>
      <c r="H142" s="1">
        <f>SUM(OSRRefH22_23x_0)</f>
        <v>175</v>
      </c>
      <c r="I142" s="1"/>
      <c r="J142" s="5">
        <f t="shared" si="109"/>
        <v>1.6527146073527855E-4</v>
      </c>
      <c r="K142" s="1"/>
      <c r="L142" s="1">
        <f t="shared" si="110"/>
        <v>-147.61000000000001</v>
      </c>
      <c r="M142" s="1"/>
      <c r="N142" s="5">
        <f t="shared" si="111"/>
        <v>-0.84348571428571439</v>
      </c>
      <c r="O142" s="14"/>
      <c r="P142" s="1">
        <f>SUM(OSRRefP22_23x_0)</f>
        <v>710.53</v>
      </c>
      <c r="Q142" s="1"/>
      <c r="R142" s="5">
        <f t="shared" si="112"/>
        <v>2.4239538425805643E-4</v>
      </c>
      <c r="S142" s="1"/>
      <c r="T142" s="1">
        <f>SUM(OSRRefT22_23x_0)</f>
        <v>525</v>
      </c>
      <c r="U142" s="1"/>
      <c r="V142" s="5">
        <f t="shared" si="113"/>
        <v>1.0973554986602857E-4</v>
      </c>
      <c r="W142" s="1"/>
      <c r="X142" s="1">
        <f t="shared" si="114"/>
        <v>185.52999999999997</v>
      </c>
      <c r="Y142" s="1"/>
      <c r="Z142" s="5">
        <f t="shared" si="115"/>
        <v>0.35339047619047614</v>
      </c>
    </row>
    <row r="143" spans="1:26" s="24" customFormat="1" hidden="1" outlineLevel="2" x14ac:dyDescent="0.25">
      <c r="A143" s="29"/>
      <c r="B143" s="11" t="str">
        <f>CONCATENATE("          ", "6292", " - ", "TRAVEL/CONFERENCE")</f>
        <v xml:space="preserve">          6292 - TRAVEL/CONFERENCE</v>
      </c>
      <c r="C143" s="11"/>
      <c r="D143" s="7"/>
      <c r="E143" s="2"/>
      <c r="F143" s="6">
        <f t="shared" si="108"/>
        <v>0</v>
      </c>
      <c r="G143" s="2"/>
      <c r="H143" s="7">
        <v>125</v>
      </c>
      <c r="I143" s="2"/>
      <c r="J143" s="6">
        <f t="shared" si="109"/>
        <v>1.1805104338234183E-4</v>
      </c>
      <c r="K143" s="2"/>
      <c r="L143" s="7">
        <f t="shared" si="110"/>
        <v>-125</v>
      </c>
      <c r="M143" s="2"/>
      <c r="N143" s="6">
        <f t="shared" si="111"/>
        <v>-1</v>
      </c>
      <c r="O143" s="11"/>
      <c r="P143" s="7">
        <v>495</v>
      </c>
      <c r="Q143" s="2"/>
      <c r="R143" s="6">
        <f t="shared" si="112"/>
        <v>1.6886790875506727E-4</v>
      </c>
      <c r="S143" s="2"/>
      <c r="T143" s="7">
        <v>375</v>
      </c>
      <c r="U143" s="2"/>
      <c r="V143" s="6">
        <f t="shared" si="113"/>
        <v>7.8382535618591834E-5</v>
      </c>
      <c r="W143" s="2"/>
      <c r="X143" s="7">
        <f t="shared" si="114"/>
        <v>120</v>
      </c>
      <c r="Y143" s="2"/>
      <c r="Z143" s="6">
        <f t="shared" si="115"/>
        <v>0.32</v>
      </c>
    </row>
    <row r="144" spans="1:26" s="24" customFormat="1" hidden="1" outlineLevel="2" x14ac:dyDescent="0.25">
      <c r="A144" s="29"/>
      <c r="B144" s="11" t="str">
        <f>CONCATENATE("          ", "6294", " - ", "TRAVEL OPERATIONAL")</f>
        <v xml:space="preserve">          6294 - TRAVEL OPERATIONAL</v>
      </c>
      <c r="C144" s="11"/>
      <c r="D144" s="7">
        <v>27.39</v>
      </c>
      <c r="E144" s="2"/>
      <c r="F144" s="6">
        <f t="shared" si="108"/>
        <v>3.6072097574036202E-5</v>
      </c>
      <c r="G144" s="2"/>
      <c r="H144" s="7">
        <v>25</v>
      </c>
      <c r="I144" s="2"/>
      <c r="J144" s="6">
        <f t="shared" si="109"/>
        <v>2.3610208676468367E-5</v>
      </c>
      <c r="K144" s="2"/>
      <c r="L144" s="7">
        <f t="shared" si="110"/>
        <v>2.3900000000000006</v>
      </c>
      <c r="M144" s="2"/>
      <c r="N144" s="6">
        <f t="shared" si="111"/>
        <v>9.5600000000000018E-2</v>
      </c>
      <c r="O144" s="11"/>
      <c r="P144" s="7">
        <v>215.53</v>
      </c>
      <c r="Q144" s="2"/>
      <c r="R144" s="6">
        <f t="shared" si="112"/>
        <v>7.3527475502989186E-5</v>
      </c>
      <c r="S144" s="2"/>
      <c r="T144" s="7">
        <v>75</v>
      </c>
      <c r="U144" s="2"/>
      <c r="V144" s="6">
        <f t="shared" si="113"/>
        <v>1.5676507123718368E-5</v>
      </c>
      <c r="W144" s="2"/>
      <c r="X144" s="7">
        <f t="shared" si="114"/>
        <v>140.53</v>
      </c>
      <c r="Y144" s="2"/>
      <c r="Z144" s="6">
        <f t="shared" si="115"/>
        <v>1.8737333333333333</v>
      </c>
    </row>
    <row r="145" spans="1:26" s="24" customFormat="1" hidden="1" outlineLevel="2" x14ac:dyDescent="0.25">
      <c r="A145" s="29"/>
      <c r="B145" s="11" t="str">
        <f>CONCATENATE("          ", "6298", " - ", "VEHICLE MILEAGE")</f>
        <v xml:space="preserve">          6298 - VEHICLE MILEAGE</v>
      </c>
      <c r="C145" s="11"/>
      <c r="D145" s="7"/>
      <c r="E145" s="2"/>
      <c r="F145" s="6">
        <f t="shared" si="108"/>
        <v>0</v>
      </c>
      <c r="G145" s="2"/>
      <c r="H145" s="7">
        <v>25</v>
      </c>
      <c r="I145" s="2"/>
      <c r="J145" s="6">
        <f t="shared" si="109"/>
        <v>2.3610208676468367E-5</v>
      </c>
      <c r="K145" s="2"/>
      <c r="L145" s="7">
        <f t="shared" si="110"/>
        <v>-25</v>
      </c>
      <c r="M145" s="2"/>
      <c r="N145" s="6">
        <f t="shared" si="111"/>
        <v>-1</v>
      </c>
      <c r="O145" s="11"/>
      <c r="P145" s="7"/>
      <c r="Q145" s="2"/>
      <c r="R145" s="6">
        <f t="shared" si="112"/>
        <v>0</v>
      </c>
      <c r="S145" s="2"/>
      <c r="T145" s="7">
        <v>75</v>
      </c>
      <c r="U145" s="2"/>
      <c r="V145" s="6">
        <f t="shared" si="113"/>
        <v>1.5676507123718368E-5</v>
      </c>
      <c r="W145" s="2"/>
      <c r="X145" s="7">
        <f t="shared" si="114"/>
        <v>-75</v>
      </c>
      <c r="Y145" s="2"/>
      <c r="Z145" s="6">
        <f t="shared" si="115"/>
        <v>-1</v>
      </c>
    </row>
    <row r="146" spans="1:26" s="28" customFormat="1" outlineLevel="1" collapsed="1" x14ac:dyDescent="0.25">
      <c r="A146" s="27"/>
      <c r="B146" s="14" t="str">
        <f>CONCATENATE("     ","Utilities                                         ")</f>
        <v xml:space="preserve">     Utilities                                         </v>
      </c>
      <c r="C146" s="14"/>
      <c r="D146" s="1">
        <f>SUM(OSRRefD22_24x_0)</f>
        <v>6037.6</v>
      </c>
      <c r="E146" s="1"/>
      <c r="F146" s="5">
        <f t="shared" ref="F146:F147" si="116">IF(D$12=0,0,D146/D$12)</f>
        <v>7.9514018369113166E-3</v>
      </c>
      <c r="G146" s="1"/>
      <c r="H146" s="1">
        <f>SUM(OSRRefH22_24x_0)</f>
        <v>6120</v>
      </c>
      <c r="I146" s="1"/>
      <c r="J146" s="5">
        <f t="shared" ref="J146:J147" si="117">IF(H$12=0,0,H146/H$12)</f>
        <v>5.7797790839994563E-3</v>
      </c>
      <c r="K146" s="1"/>
      <c r="L146" s="1">
        <f t="shared" ref="L146:L147" si="118">+D146-H146</f>
        <v>-82.399999999999636</v>
      </c>
      <c r="M146" s="1"/>
      <c r="N146" s="5">
        <f t="shared" ref="N146:N147" si="119">IF(H146=0,0,L146/H146)</f>
        <v>-1.346405228758164E-2</v>
      </c>
      <c r="O146" s="14"/>
      <c r="P146" s="1">
        <f>SUM(OSRRefP22_24x_0)</f>
        <v>18111.38</v>
      </c>
      <c r="Q146" s="1"/>
      <c r="R146" s="5">
        <f t="shared" ref="R146:R147" si="120">IF(P$12=0,0,P146/P$12)</f>
        <v>6.1786482126633341E-3</v>
      </c>
      <c r="S146" s="1"/>
      <c r="T146" s="1">
        <f>SUM(OSRRefT22_24x_0)</f>
        <v>18360</v>
      </c>
      <c r="U146" s="1"/>
      <c r="V146" s="5">
        <f t="shared" ref="V146:V147" si="121">IF(T$12=0,0,T146/T$12)</f>
        <v>3.8376089438862562E-3</v>
      </c>
      <c r="W146" s="1"/>
      <c r="X146" s="1">
        <f t="shared" ref="X146:X147" si="122">+P146-T146</f>
        <v>-248.61999999999898</v>
      </c>
      <c r="Y146" s="1"/>
      <c r="Z146" s="5">
        <f t="shared" ref="Z146:Z147" si="123">IF(T146=0,0,X146/T146)</f>
        <v>-1.3541394335511927E-2</v>
      </c>
    </row>
    <row r="147" spans="1:26" s="24" customFormat="1" hidden="1" outlineLevel="2" x14ac:dyDescent="0.25">
      <c r="A147" s="29"/>
      <c r="B147" s="11" t="str">
        <f>CONCATENATE("          ", "6274", " - ", "UTILITIES")</f>
        <v xml:space="preserve">          6274 - UTILITIES</v>
      </c>
      <c r="C147" s="11"/>
      <c r="D147" s="7">
        <v>6037.6</v>
      </c>
      <c r="E147" s="2"/>
      <c r="F147" s="6">
        <f t="shared" si="116"/>
        <v>7.9514018369113166E-3</v>
      </c>
      <c r="G147" s="2"/>
      <c r="H147" s="7">
        <v>6120</v>
      </c>
      <c r="I147" s="2"/>
      <c r="J147" s="6">
        <f t="shared" si="117"/>
        <v>5.7797790839994563E-3</v>
      </c>
      <c r="K147" s="2"/>
      <c r="L147" s="7">
        <f t="shared" si="118"/>
        <v>-82.399999999999636</v>
      </c>
      <c r="M147" s="2"/>
      <c r="N147" s="6">
        <f t="shared" si="119"/>
        <v>-1.346405228758164E-2</v>
      </c>
      <c r="O147" s="11"/>
      <c r="P147" s="7">
        <v>18111.38</v>
      </c>
      <c r="Q147" s="2"/>
      <c r="R147" s="6">
        <f t="shared" si="120"/>
        <v>6.1786482126633341E-3</v>
      </c>
      <c r="S147" s="2"/>
      <c r="T147" s="7">
        <v>18360</v>
      </c>
      <c r="U147" s="2"/>
      <c r="V147" s="6">
        <f t="shared" si="121"/>
        <v>3.8376089438862562E-3</v>
      </c>
      <c r="W147" s="2"/>
      <c r="X147" s="7">
        <f t="shared" si="122"/>
        <v>-248.61999999999898</v>
      </c>
      <c r="Y147" s="2"/>
      <c r="Z147" s="6">
        <f t="shared" si="123"/>
        <v>-1.3541394335511927E-2</v>
      </c>
    </row>
    <row r="148" spans="1:26" s="58" customFormat="1" x14ac:dyDescent="0.25">
      <c r="A148" s="36"/>
      <c r="B148" s="36"/>
      <c r="C148" s="36"/>
      <c r="D148" s="1"/>
      <c r="E148" s="1"/>
      <c r="F148" s="5"/>
      <c r="G148" s="1"/>
      <c r="H148" s="1"/>
      <c r="I148" s="1"/>
      <c r="J148" s="5"/>
      <c r="K148" s="1"/>
      <c r="L148" s="1"/>
      <c r="M148" s="1"/>
      <c r="N148" s="5"/>
      <c r="O148" s="36"/>
      <c r="P148" s="1"/>
      <c r="Q148" s="1"/>
      <c r="R148" s="5"/>
      <c r="S148" s="1"/>
      <c r="T148" s="1"/>
      <c r="U148" s="1"/>
      <c r="V148" s="5"/>
      <c r="W148" s="1"/>
      <c r="X148" s="1"/>
      <c r="Y148" s="1"/>
      <c r="Z148" s="5"/>
    </row>
    <row r="149" spans="1:26" s="23" customFormat="1" collapsed="1" x14ac:dyDescent="0.25">
      <c r="A149" s="10"/>
      <c r="B149" s="26" t="s">
        <v>293</v>
      </c>
      <c r="C149" s="10"/>
      <c r="D149" s="4">
        <f>SUM(OSRRefD25x_0)</f>
        <v>179244.44999999998</v>
      </c>
      <c r="E149" s="4"/>
      <c r="F149" s="12">
        <f t="shared" ref="F149:F156" si="124">IF(D$12=0,0,D149/D$12)</f>
        <v>0.23606145637110085</v>
      </c>
      <c r="G149" s="4"/>
      <c r="H149" s="4">
        <f>SUM(OSRRefH25x_0)</f>
        <v>183421.5</v>
      </c>
      <c r="I149" s="4"/>
      <c r="J149" s="12">
        <f t="shared" ref="J149:J156" si="125">IF(H$12=0,0,H149/H$12)</f>
        <v>0.17322479563003371</v>
      </c>
      <c r="K149" s="4"/>
      <c r="L149" s="4">
        <f t="shared" ref="L149:L156" si="126">+D149-H149</f>
        <v>-4177.0500000000175</v>
      </c>
      <c r="M149" s="4"/>
      <c r="N149" s="12">
        <f t="shared" ref="N149:N156" si="127">IF(H149=0,0,L149/H149)</f>
        <v>-2.2772957368683702E-2</v>
      </c>
      <c r="O149" s="10"/>
      <c r="P149" s="4">
        <f>SUM(OSRRefP25x_0)</f>
        <v>365622.72</v>
      </c>
      <c r="Q149" s="4"/>
      <c r="R149" s="12">
        <f t="shared" ref="R149:R156" si="128">IF(P$12=0,0,P149/P$12)</f>
        <v>0.12473120024189799</v>
      </c>
      <c r="S149" s="4"/>
      <c r="T149" s="4">
        <f>SUM(OSRRefT25x_0)</f>
        <v>264529.5</v>
      </c>
      <c r="U149" s="4"/>
      <c r="V149" s="12">
        <f t="shared" ref="V149:V156" si="129">IF(T$12=0,0,T149/T$12)</f>
        <v>5.5291981215782104E-2</v>
      </c>
      <c r="W149" s="4"/>
      <c r="X149" s="4">
        <f t="shared" ref="X149:X156" si="130">+P149-T149</f>
        <v>101093.21999999997</v>
      </c>
      <c r="Y149" s="4"/>
      <c r="Z149" s="12">
        <f t="shared" ref="Z149:Z156" si="131">IF(T149=0,0,X149/T149)</f>
        <v>0.38216236752422689</v>
      </c>
    </row>
    <row r="150" spans="1:26" s="24" customFormat="1" hidden="1" outlineLevel="1" x14ac:dyDescent="0.25">
      <c r="A150" s="44"/>
      <c r="B150" s="11" t="str">
        <f>CONCATENATE("          ", "4187", " - ", "NON-TAXABLE SALES-COMPUTER REP")</f>
        <v xml:space="preserve">          4187 - NON-TAXABLE SALES-COMPUTER REP</v>
      </c>
      <c r="C150" s="11"/>
      <c r="D150" s="2">
        <f>0</f>
        <v>0</v>
      </c>
      <c r="E150" s="2"/>
      <c r="F150" s="19">
        <f t="shared" si="124"/>
        <v>0</v>
      </c>
      <c r="G150" s="2"/>
      <c r="H150" s="2"/>
      <c r="I150" s="2"/>
      <c r="J150" s="19">
        <f t="shared" si="125"/>
        <v>0</v>
      </c>
      <c r="K150" s="2"/>
      <c r="L150" s="2">
        <f t="shared" si="126"/>
        <v>0</v>
      </c>
      <c r="M150" s="2"/>
      <c r="N150" s="19">
        <f t="shared" si="127"/>
        <v>0</v>
      </c>
      <c r="O150" s="11"/>
      <c r="P150" s="2">
        <f>0</f>
        <v>0</v>
      </c>
      <c r="Q150" s="2"/>
      <c r="R150" s="19">
        <f t="shared" si="128"/>
        <v>0</v>
      </c>
      <c r="S150" s="2"/>
      <c r="T150" s="2"/>
      <c r="U150" s="2"/>
      <c r="V150" s="19">
        <f t="shared" si="129"/>
        <v>0</v>
      </c>
      <c r="W150" s="2"/>
      <c r="X150" s="2">
        <f t="shared" si="130"/>
        <v>0</v>
      </c>
      <c r="Y150" s="2"/>
      <c r="Z150" s="19">
        <f t="shared" si="131"/>
        <v>0</v>
      </c>
    </row>
    <row r="151" spans="1:26" s="24" customFormat="1" hidden="1" outlineLevel="1" x14ac:dyDescent="0.25">
      <c r="A151" s="44"/>
      <c r="B151" s="11" t="str">
        <f>CONCATENATE("          ", "9087", " - ", "")</f>
        <v xml:space="preserve">          9087 - </v>
      </c>
      <c r="C151" s="11"/>
      <c r="D151" s="2">
        <f>-656.36</f>
        <v>-656.36</v>
      </c>
      <c r="E151" s="2"/>
      <c r="F151" s="19">
        <f t="shared" si="124"/>
        <v>-8.6441336121556773E-4</v>
      </c>
      <c r="G151" s="2"/>
      <c r="H151" s="2"/>
      <c r="I151" s="2"/>
      <c r="J151" s="19">
        <f t="shared" si="125"/>
        <v>0</v>
      </c>
      <c r="K151" s="2"/>
      <c r="L151" s="2">
        <f t="shared" si="126"/>
        <v>-656.36</v>
      </c>
      <c r="M151" s="2"/>
      <c r="N151" s="19">
        <f t="shared" si="127"/>
        <v>0</v>
      </c>
      <c r="O151" s="11"/>
      <c r="P151" s="2">
        <f>--363.65</f>
        <v>363.65</v>
      </c>
      <c r="Q151" s="2"/>
      <c r="R151" s="19">
        <f t="shared" si="128"/>
        <v>1.2405821215915192E-4</v>
      </c>
      <c r="S151" s="2"/>
      <c r="T151" s="2"/>
      <c r="U151" s="2"/>
      <c r="V151" s="19">
        <f t="shared" si="129"/>
        <v>0</v>
      </c>
      <c r="W151" s="2"/>
      <c r="X151" s="2">
        <f t="shared" si="130"/>
        <v>363.65</v>
      </c>
      <c r="Y151" s="2"/>
      <c r="Z151" s="19">
        <f t="shared" si="131"/>
        <v>0</v>
      </c>
    </row>
    <row r="152" spans="1:26" s="24" customFormat="1" hidden="1" outlineLevel="1" x14ac:dyDescent="0.25">
      <c r="A152" s="44"/>
      <c r="B152" s="11" t="str">
        <f>CONCATENATE("          ", "9150", " - ", "MISC. INCOME")</f>
        <v xml:space="preserve">          9150 - MISC. INCOME</v>
      </c>
      <c r="C152" s="11"/>
      <c r="D152" s="2">
        <f>--22367.43</f>
        <v>22367.43</v>
      </c>
      <c r="E152" s="2"/>
      <c r="F152" s="19">
        <f t="shared" si="124"/>
        <v>2.9457470516262307E-2</v>
      </c>
      <c r="G152" s="2"/>
      <c r="H152" s="2">
        <v>21441</v>
      </c>
      <c r="I152" s="2"/>
      <c r="J152" s="19">
        <f t="shared" si="125"/>
        <v>2.024905936928633E-2</v>
      </c>
      <c r="K152" s="2"/>
      <c r="L152" s="2">
        <f t="shared" si="126"/>
        <v>926.43000000000029</v>
      </c>
      <c r="M152" s="2"/>
      <c r="N152" s="19">
        <f t="shared" si="127"/>
        <v>4.3208339163285307E-2</v>
      </c>
      <c r="O152" s="11"/>
      <c r="P152" s="2">
        <f>--131846.36</f>
        <v>131846.35999999999</v>
      </c>
      <c r="Q152" s="2"/>
      <c r="R152" s="19">
        <f t="shared" si="128"/>
        <v>4.4979028464985346E-2</v>
      </c>
      <c r="S152" s="2"/>
      <c r="T152" s="2">
        <v>59549</v>
      </c>
      <c r="U152" s="2"/>
      <c r="V152" s="19">
        <f t="shared" si="129"/>
        <v>1.2446937636137401E-2</v>
      </c>
      <c r="W152" s="2"/>
      <c r="X152" s="2">
        <f t="shared" si="130"/>
        <v>72297.359999999986</v>
      </c>
      <c r="Y152" s="2"/>
      <c r="Z152" s="19">
        <f t="shared" si="131"/>
        <v>1.2140818485616884</v>
      </c>
    </row>
    <row r="153" spans="1:26" s="24" customFormat="1" hidden="1" outlineLevel="1" x14ac:dyDescent="0.25">
      <c r="A153" s="44"/>
      <c r="B153" s="11" t="str">
        <f>CONCATENATE("          ", "9151", " - ", "MISC. INCOME")</f>
        <v xml:space="preserve">          9151 - MISC. INCOME</v>
      </c>
      <c r="C153" s="11"/>
      <c r="D153" s="2">
        <f>--156907</f>
        <v>156907</v>
      </c>
      <c r="E153" s="2"/>
      <c r="F153" s="19">
        <f t="shared" si="124"/>
        <v>0.20664346893206639</v>
      </c>
      <c r="G153" s="2"/>
      <c r="H153" s="2">
        <v>161980.5</v>
      </c>
      <c r="I153" s="2"/>
      <c r="J153" s="19">
        <f t="shared" si="125"/>
        <v>0.15297573626074737</v>
      </c>
      <c r="K153" s="2"/>
      <c r="L153" s="2">
        <f t="shared" si="126"/>
        <v>-5073.5</v>
      </c>
      <c r="M153" s="2"/>
      <c r="N153" s="19">
        <f t="shared" si="127"/>
        <v>-3.1321671435759244E-2</v>
      </c>
      <c r="O153" s="11"/>
      <c r="P153" s="2">
        <f>--168463.36</f>
        <v>168463.35999999999</v>
      </c>
      <c r="Q153" s="2"/>
      <c r="R153" s="19">
        <f t="shared" si="128"/>
        <v>5.7470818798084938E-2</v>
      </c>
      <c r="S153" s="2"/>
      <c r="T153" s="2">
        <v>204980.5</v>
      </c>
      <c r="U153" s="2"/>
      <c r="V153" s="19">
        <f t="shared" si="129"/>
        <v>4.2845043579644707E-2</v>
      </c>
      <c r="W153" s="2"/>
      <c r="X153" s="2">
        <f t="shared" si="130"/>
        <v>-36517.140000000014</v>
      </c>
      <c r="Y153" s="2"/>
      <c r="Z153" s="19">
        <f t="shared" si="131"/>
        <v>-0.17814933615636616</v>
      </c>
    </row>
    <row r="154" spans="1:26" s="24" customFormat="1" hidden="1" outlineLevel="1" x14ac:dyDescent="0.25">
      <c r="A154" s="44"/>
      <c r="B154" s="11" t="str">
        <f>CONCATENATE("          ", "9152", " - ", "MISC. INCOME")</f>
        <v xml:space="preserve">          9152 - MISC. INCOME</v>
      </c>
      <c r="C154" s="11"/>
      <c r="D154" s="2">
        <f>--935.08</f>
        <v>935.08</v>
      </c>
      <c r="E154" s="2"/>
      <c r="F154" s="19">
        <f t="shared" si="124"/>
        <v>1.231482183261401E-3</v>
      </c>
      <c r="G154" s="2"/>
      <c r="H154" s="2"/>
      <c r="I154" s="2"/>
      <c r="J154" s="19">
        <f t="shared" si="125"/>
        <v>0</v>
      </c>
      <c r="K154" s="2"/>
      <c r="L154" s="2">
        <f t="shared" si="126"/>
        <v>935.08</v>
      </c>
      <c r="M154" s="2"/>
      <c r="N154" s="19">
        <f t="shared" si="127"/>
        <v>0</v>
      </c>
      <c r="O154" s="11"/>
      <c r="P154" s="2">
        <f>--1938.11</f>
        <v>1938.11</v>
      </c>
      <c r="Q154" s="2"/>
      <c r="R154" s="19">
        <f t="shared" si="128"/>
        <v>6.6118097502481494E-4</v>
      </c>
      <c r="S154" s="2"/>
      <c r="T154" s="2"/>
      <c r="U154" s="2"/>
      <c r="V154" s="19">
        <f t="shared" si="129"/>
        <v>0</v>
      </c>
      <c r="W154" s="2"/>
      <c r="X154" s="2">
        <f t="shared" si="130"/>
        <v>1938.11</v>
      </c>
      <c r="Y154" s="2"/>
      <c r="Z154" s="19">
        <f t="shared" si="131"/>
        <v>0</v>
      </c>
    </row>
    <row r="155" spans="1:26" s="24" customFormat="1" hidden="1" outlineLevel="1" x14ac:dyDescent="0.25">
      <c r="A155" s="44"/>
      <c r="B155" s="11" t="str">
        <f>CONCATENATE("          ", "9160", " - ", "MISC. INCOME")</f>
        <v xml:space="preserve">          9160 - MISC. INCOME</v>
      </c>
      <c r="C155" s="11"/>
      <c r="D155" s="2">
        <f>0</f>
        <v>0</v>
      </c>
      <c r="E155" s="2"/>
      <c r="F155" s="19">
        <f t="shared" si="124"/>
        <v>0</v>
      </c>
      <c r="G155" s="2"/>
      <c r="H155" s="2">
        <v>0</v>
      </c>
      <c r="I155" s="2"/>
      <c r="J155" s="19">
        <f t="shared" si="125"/>
        <v>0</v>
      </c>
      <c r="K155" s="2"/>
      <c r="L155" s="2">
        <f t="shared" si="126"/>
        <v>0</v>
      </c>
      <c r="M155" s="2"/>
      <c r="N155" s="19">
        <f t="shared" si="127"/>
        <v>0</v>
      </c>
      <c r="O155" s="11"/>
      <c r="P155" s="2">
        <f>0</f>
        <v>0</v>
      </c>
      <c r="Q155" s="2"/>
      <c r="R155" s="19">
        <f t="shared" si="128"/>
        <v>0</v>
      </c>
      <c r="S155" s="2"/>
      <c r="T155" s="2">
        <v>0</v>
      </c>
      <c r="U155" s="2"/>
      <c r="V155" s="19">
        <f t="shared" si="129"/>
        <v>0</v>
      </c>
      <c r="W155" s="2"/>
      <c r="X155" s="2">
        <f t="shared" si="130"/>
        <v>0</v>
      </c>
      <c r="Y155" s="2"/>
      <c r="Z155" s="19">
        <f t="shared" si="131"/>
        <v>0</v>
      </c>
    </row>
    <row r="156" spans="1:26" s="24" customFormat="1" hidden="1" outlineLevel="1" x14ac:dyDescent="0.25">
      <c r="A156" s="44"/>
      <c r="B156" s="11" t="str">
        <f>CONCATENATE("          ", "9163", " - ", "MISC. INCOME")</f>
        <v xml:space="preserve">          9163 - MISC. INCOME</v>
      </c>
      <c r="C156" s="11"/>
      <c r="D156" s="2">
        <f>-308.7</f>
        <v>-308.7</v>
      </c>
      <c r="E156" s="2"/>
      <c r="F156" s="19">
        <f t="shared" si="124"/>
        <v>-4.0655189927363912E-4</v>
      </c>
      <c r="G156" s="2"/>
      <c r="H156" s="2"/>
      <c r="I156" s="2"/>
      <c r="J156" s="19">
        <f t="shared" si="125"/>
        <v>0</v>
      </c>
      <c r="K156" s="2"/>
      <c r="L156" s="2">
        <f t="shared" si="126"/>
        <v>-308.7</v>
      </c>
      <c r="M156" s="2"/>
      <c r="N156" s="19">
        <f t="shared" si="127"/>
        <v>0</v>
      </c>
      <c r="O156" s="11"/>
      <c r="P156" s="2">
        <f>--63011.24</f>
        <v>63011.24</v>
      </c>
      <c r="Q156" s="2"/>
      <c r="R156" s="19">
        <f t="shared" si="128"/>
        <v>2.1496113791643727E-2</v>
      </c>
      <c r="S156" s="2"/>
      <c r="T156" s="2"/>
      <c r="U156" s="2"/>
      <c r="V156" s="19">
        <f t="shared" si="129"/>
        <v>0</v>
      </c>
      <c r="W156" s="2"/>
      <c r="X156" s="2">
        <f t="shared" si="130"/>
        <v>63011.24</v>
      </c>
      <c r="Y156" s="2"/>
      <c r="Z156" s="19">
        <f t="shared" si="131"/>
        <v>0</v>
      </c>
    </row>
    <row r="157" spans="1:26" x14ac:dyDescent="0.25">
      <c r="A157" s="9"/>
      <c r="B157" s="10"/>
      <c r="C157" s="10"/>
      <c r="D157" s="3"/>
      <c r="E157" s="3"/>
      <c r="F157" s="8"/>
      <c r="G157" s="3"/>
      <c r="H157" s="3"/>
      <c r="I157" s="3"/>
      <c r="J157" s="8"/>
      <c r="K157" s="3"/>
      <c r="L157" s="3"/>
      <c r="M157" s="3"/>
      <c r="N157" s="8"/>
      <c r="O157" s="10"/>
      <c r="P157" s="3"/>
      <c r="Q157" s="3"/>
      <c r="R157" s="8"/>
      <c r="S157" s="3"/>
      <c r="T157" s="3"/>
      <c r="U157" s="3"/>
      <c r="V157" s="8"/>
      <c r="W157" s="3"/>
      <c r="X157" s="3"/>
      <c r="Y157" s="3"/>
      <c r="Z157" s="8"/>
    </row>
    <row r="158" spans="1:26" s="23" customFormat="1" x14ac:dyDescent="0.25">
      <c r="A158" s="10"/>
      <c r="B158" s="25" t="s">
        <v>277</v>
      </c>
      <c r="C158" s="25"/>
      <c r="D158" s="21">
        <f>+D55-D57+D149</f>
        <v>131917.63999999998</v>
      </c>
      <c r="E158" s="13"/>
      <c r="F158" s="20">
        <f>IF(D$12=0,0,D158/D$12)</f>
        <v>0.17373296757271195</v>
      </c>
      <c r="G158" s="13"/>
      <c r="H158" s="21">
        <f>+H55-H57+H149</f>
        <v>196001.24354821723</v>
      </c>
      <c r="I158" s="13"/>
      <c r="J158" s="20">
        <f>IF(H$12=0,0,H158/H$12)</f>
        <v>0.18510521044082831</v>
      </c>
      <c r="K158" s="16"/>
      <c r="L158" s="21">
        <f>+D158-H158</f>
        <v>-64083.603548217245</v>
      </c>
      <c r="M158" s="16"/>
      <c r="N158" s="20">
        <f>IF(H158=0,0,L158/H158)</f>
        <v>-0.32695508655001149</v>
      </c>
      <c r="O158" s="26"/>
      <c r="P158" s="21">
        <f>+P55-P57+P149</f>
        <v>262026.62000000023</v>
      </c>
      <c r="Q158" s="13"/>
      <c r="R158" s="20">
        <f>IF(P$12=0,0,P158/P$12)</f>
        <v>8.9389671429411566E-2</v>
      </c>
      <c r="S158" s="13"/>
      <c r="T158" s="21">
        <f>+T55-T57+T149</f>
        <v>566294.26584401308</v>
      </c>
      <c r="U158" s="13"/>
      <c r="V158" s="20">
        <f>IF(T$12=0,0,T158/T$12)</f>
        <v>0.11836688123499378</v>
      </c>
      <c r="W158" s="16"/>
      <c r="X158" s="21">
        <f>+P158-T158</f>
        <v>-304267.64584401285</v>
      </c>
      <c r="Y158" s="16"/>
      <c r="Z158" s="20">
        <f>IF(T158=0,0,X158/T158)</f>
        <v>-0.53729600350186846</v>
      </c>
    </row>
    <row r="159" spans="1:26" x14ac:dyDescent="0.25">
      <c r="A159" s="9"/>
      <c r="B159" s="10"/>
      <c r="C159" s="9"/>
      <c r="D159" s="3"/>
      <c r="E159" s="3"/>
      <c r="F159" s="8"/>
      <c r="G159" s="3"/>
      <c r="H159" s="3"/>
      <c r="I159" s="3"/>
      <c r="J159" s="8"/>
      <c r="K159" s="3"/>
      <c r="L159" s="3"/>
      <c r="M159" s="3"/>
      <c r="N159" s="8"/>
      <c r="P159" s="3"/>
      <c r="Q159" s="3"/>
      <c r="R159" s="8"/>
      <c r="S159" s="3"/>
      <c r="T159" s="3"/>
      <c r="U159" s="3"/>
      <c r="V159" s="8"/>
      <c r="W159" s="3"/>
      <c r="X159" s="3"/>
      <c r="Y159" s="3"/>
      <c r="Z159" s="8"/>
    </row>
    <row r="160" spans="1:26" s="23" customFormat="1" x14ac:dyDescent="0.25">
      <c r="A160" s="52"/>
      <c r="B160" s="10" t="s">
        <v>128</v>
      </c>
      <c r="C160" s="10"/>
      <c r="D160" s="4">
        <v>38257.19</v>
      </c>
      <c r="E160" s="4"/>
      <c r="F160" s="12">
        <f>IF(D$12=0,0,D160/D$12)</f>
        <v>5.0383975560001536E-2</v>
      </c>
      <c r="G160" s="4"/>
      <c r="H160" s="4">
        <v>102276</v>
      </c>
      <c r="I160" s="4"/>
      <c r="J160" s="12">
        <f>IF(H$12=0,0,H160/H$12)</f>
        <v>9.6590308103779138E-2</v>
      </c>
      <c r="K160" s="4"/>
      <c r="L160" s="4">
        <f>+D160-H160</f>
        <v>-64018.81</v>
      </c>
      <c r="M160" s="4"/>
      <c r="N160" s="12">
        <f>IF(H160=0,0,L160/H160)</f>
        <v>-0.62594166764441317</v>
      </c>
      <c r="O160" s="10"/>
      <c r="P160" s="4">
        <v>362821.66</v>
      </c>
      <c r="Q160" s="4"/>
      <c r="R160" s="12">
        <f>IF(P$12=0,0,P160/P$12)</f>
        <v>0.12377562621261017</v>
      </c>
      <c r="S160" s="4"/>
      <c r="T160" s="4">
        <v>519495</v>
      </c>
      <c r="U160" s="4"/>
      <c r="V160" s="12">
        <f>IF(T$12=0,0,T160/T$12)</f>
        <v>0.10858489424314764</v>
      </c>
      <c r="W160" s="4"/>
      <c r="X160" s="4">
        <f>+P160-T160</f>
        <v>-156673.34000000003</v>
      </c>
      <c r="Y160" s="4"/>
      <c r="Z160" s="12">
        <f>IF(T160=0,0,X160/T160)</f>
        <v>-0.30158777274083493</v>
      </c>
    </row>
    <row r="161" spans="1:26" x14ac:dyDescent="0.25">
      <c r="A161" s="9"/>
      <c r="B161" s="10"/>
      <c r="C161" s="10"/>
      <c r="D161" s="3"/>
      <c r="E161" s="3"/>
      <c r="F161" s="8"/>
      <c r="G161" s="3"/>
      <c r="H161" s="3"/>
      <c r="I161" s="3"/>
      <c r="J161" s="8"/>
      <c r="K161" s="3"/>
      <c r="L161" s="3"/>
      <c r="M161" s="3"/>
      <c r="N161" s="8"/>
      <c r="O161" s="10"/>
      <c r="P161" s="3"/>
      <c r="Q161" s="3"/>
      <c r="R161" s="8"/>
      <c r="S161" s="3"/>
      <c r="T161" s="3"/>
      <c r="U161" s="3"/>
      <c r="V161" s="8"/>
      <c r="W161" s="3"/>
      <c r="X161" s="3"/>
      <c r="Y161" s="3"/>
      <c r="Z161" s="8"/>
    </row>
    <row r="162" spans="1:26" s="23" customFormat="1" ht="15.75" thickBot="1" x14ac:dyDescent="0.3">
      <c r="A162" s="10"/>
      <c r="B162" s="25" t="s">
        <v>126</v>
      </c>
      <c r="C162" s="25"/>
      <c r="D162" s="33">
        <f>+D158-D160</f>
        <v>93660.449999999983</v>
      </c>
      <c r="E162" s="13"/>
      <c r="F162" s="31">
        <f>IF(D$12=0,0,D162/D$12)</f>
        <v>0.12334899201271042</v>
      </c>
      <c r="G162" s="13"/>
      <c r="H162" s="33">
        <f>+H158-H160</f>
        <v>93725.24354821723</v>
      </c>
      <c r="I162" s="13"/>
      <c r="J162" s="31">
        <f>IF(H$12=0,0,H162/H$12)</f>
        <v>8.8514902337049173E-2</v>
      </c>
      <c r="K162" s="16"/>
      <c r="L162" s="33">
        <f>D162-H162</f>
        <v>-64.793548217247007</v>
      </c>
      <c r="M162" s="16"/>
      <c r="N162" s="31">
        <f>IF(H162=0,0,L162/H162)</f>
        <v>-6.9131373538564109E-4</v>
      </c>
      <c r="O162" s="26"/>
      <c r="P162" s="33">
        <f>+P158-P160</f>
        <v>-100795.03999999975</v>
      </c>
      <c r="Q162" s="13"/>
      <c r="R162" s="31">
        <f>IF(P$12=0,0,P162/P$12)</f>
        <v>-3.4385954783198613E-2</v>
      </c>
      <c r="S162" s="13"/>
      <c r="T162" s="33">
        <f>+T158-T160</f>
        <v>46799.265844013076</v>
      </c>
      <c r="U162" s="13"/>
      <c r="V162" s="31">
        <f>IF(T$12=0,0,T162/T$12)</f>
        <v>9.7819869918461429E-3</v>
      </c>
      <c r="W162" s="16"/>
      <c r="X162" s="33">
        <f>P162-T162</f>
        <v>-147594.30584401282</v>
      </c>
      <c r="Y162" s="16"/>
      <c r="Z162" s="31">
        <f>IF(T162=0,0,X162/T162)</f>
        <v>-3.153773957394125</v>
      </c>
    </row>
    <row r="163" spans="1:26" ht="15.75" thickTop="1" x14ac:dyDescent="0.25">
      <c r="A163" s="9"/>
      <c r="B163" s="9"/>
      <c r="C163" s="9"/>
      <c r="D163" s="3"/>
      <c r="E163" s="3"/>
      <c r="F163" s="8"/>
      <c r="G163" s="3"/>
      <c r="H163" s="3"/>
      <c r="I163" s="3"/>
      <c r="J163" s="8"/>
      <c r="K163" s="3"/>
      <c r="L163" s="3"/>
      <c r="M163" s="3"/>
      <c r="N163" s="8"/>
      <c r="P163" s="3"/>
      <c r="Q163" s="3"/>
      <c r="R163" s="8"/>
      <c r="S163" s="3"/>
      <c r="T163" s="3"/>
      <c r="U163" s="3"/>
      <c r="V163" s="8"/>
      <c r="W163" s="3"/>
      <c r="X163" s="3"/>
      <c r="Y163" s="3"/>
      <c r="Z163" s="8"/>
    </row>
    <row r="164" spans="1:26" x14ac:dyDescent="0.25">
      <c r="A164" s="9"/>
      <c r="B164" s="9"/>
      <c r="C164" s="9"/>
      <c r="D164" s="3"/>
      <c r="E164" s="3"/>
      <c r="F164" s="8"/>
      <c r="G164" s="3"/>
      <c r="H164" s="3"/>
      <c r="I164" s="3"/>
      <c r="J164" s="8"/>
      <c r="K164" s="3"/>
      <c r="L164" s="3"/>
      <c r="M164" s="3"/>
      <c r="N164" s="8"/>
      <c r="P164" s="3"/>
      <c r="Q164" s="3"/>
      <c r="R164" s="8"/>
      <c r="S164" s="3"/>
      <c r="T164" s="3"/>
      <c r="U164" s="3"/>
      <c r="V164" s="8"/>
      <c r="W164" s="3"/>
      <c r="X164" s="3"/>
      <c r="Y164" s="3"/>
      <c r="Z164" s="8"/>
    </row>
    <row r="165" spans="1:26" s="23" customFormat="1" ht="15.75" thickBot="1" x14ac:dyDescent="0.3">
      <c r="A165" s="10"/>
      <c r="B165" s="25" t="s">
        <v>294</v>
      </c>
      <c r="C165" s="25"/>
      <c r="D165" s="35">
        <f>SUM(D162:D164)</f>
        <v>93660.449999999983</v>
      </c>
      <c r="E165" s="13"/>
      <c r="F165" s="34">
        <f>IF(D$12=0,0,D165/D$12)</f>
        <v>0.12334899201271042</v>
      </c>
      <c r="G165" s="13"/>
      <c r="H165" s="35">
        <f>SUM(H162:H164)</f>
        <v>93725.24354821723</v>
      </c>
      <c r="I165" s="13"/>
      <c r="J165" s="34">
        <f>IF(H$12=0,0,H165/H$12)</f>
        <v>8.8514902337049173E-2</v>
      </c>
      <c r="K165" s="16"/>
      <c r="L165" s="35">
        <f>+D165-H165</f>
        <v>-64.793548217247007</v>
      </c>
      <c r="M165" s="16"/>
      <c r="N165" s="34">
        <f>IF(H165=0,0,L165/H165)</f>
        <v>-6.9131373538564109E-4</v>
      </c>
      <c r="O165" s="26"/>
      <c r="P165" s="35">
        <f>SUM(P162:P164)</f>
        <v>-100795.03999999975</v>
      </c>
      <c r="Q165" s="13"/>
      <c r="R165" s="34">
        <f>IF(P$12=0,0,P165/P$12)</f>
        <v>-3.4385954783198613E-2</v>
      </c>
      <c r="S165" s="13"/>
      <c r="T165" s="35">
        <f>SUM(T162:T164)</f>
        <v>46799.265844013076</v>
      </c>
      <c r="U165" s="13"/>
      <c r="V165" s="34">
        <f>IF(T$12=0,0,T165/T$12)</f>
        <v>9.7819869918461429E-3</v>
      </c>
      <c r="W165" s="16"/>
      <c r="X165" s="35">
        <f>+P165-T165</f>
        <v>-147594.30584401282</v>
      </c>
      <c r="Y165" s="16"/>
      <c r="Z165" s="34">
        <f>IF(T165=0,0,X165/T165)</f>
        <v>-3.153773957394125</v>
      </c>
    </row>
    <row r="166" spans="1:26" ht="15.75" thickTop="1" x14ac:dyDescent="0.25">
      <c r="A166" s="9"/>
      <c r="C166" s="9"/>
      <c r="D166" s="18"/>
      <c r="E166" s="18"/>
      <c r="G166" s="18"/>
      <c r="H166" s="18"/>
      <c r="I166" s="18"/>
      <c r="J166" s="43"/>
      <c r="K166" s="18"/>
      <c r="L166" s="18"/>
      <c r="M166" s="18"/>
      <c r="P166" s="18"/>
      <c r="Q166" s="18"/>
      <c r="R166" s="43"/>
      <c r="S166" s="18"/>
      <c r="T166" s="18"/>
      <c r="U166" s="18"/>
      <c r="V166" s="43"/>
      <c r="W166" s="18"/>
      <c r="X166" s="18"/>
    </row>
    <row r="167" spans="1:26" x14ac:dyDescent="0.25">
      <c r="A167" s="9"/>
      <c r="B167" s="61">
        <v>44481.978943437498</v>
      </c>
      <c r="D167" s="18"/>
      <c r="E167" s="18"/>
      <c r="G167" s="18"/>
      <c r="H167" s="18"/>
      <c r="I167" s="18"/>
      <c r="J167" s="43"/>
      <c r="K167" s="18"/>
      <c r="L167" s="18"/>
      <c r="M167" s="18"/>
      <c r="P167" s="18"/>
      <c r="Q167" s="18"/>
      <c r="R167" s="43"/>
      <c r="S167" s="18"/>
      <c r="T167" s="18"/>
      <c r="U167" s="18"/>
      <c r="V167" s="43"/>
      <c r="W167" s="18"/>
      <c r="X167" s="18"/>
    </row>
    <row r="168" spans="1:26" x14ac:dyDescent="0.25">
      <c r="A168" s="9"/>
      <c r="B168" s="56" t="s">
        <v>56</v>
      </c>
      <c r="D168" s="18"/>
      <c r="E168" s="18"/>
      <c r="G168" s="18"/>
      <c r="H168" s="18"/>
      <c r="I168" s="18"/>
      <c r="J168" s="43"/>
      <c r="K168" s="18"/>
      <c r="L168" s="18"/>
      <c r="M168" s="18"/>
      <c r="P168" s="18"/>
      <c r="Q168" s="18"/>
      <c r="R168" s="43"/>
      <c r="S168" s="18"/>
      <c r="T168" s="18"/>
      <c r="U168" s="18"/>
      <c r="V168" s="43"/>
      <c r="W168" s="18"/>
      <c r="X168" s="18"/>
    </row>
    <row r="169" spans="1:26" x14ac:dyDescent="0.25">
      <c r="A169" s="9"/>
      <c r="B169" s="54"/>
      <c r="D169" s="18"/>
      <c r="E169" s="18"/>
      <c r="G169" s="18"/>
      <c r="H169" s="18"/>
      <c r="I169" s="18"/>
      <c r="J169" s="43"/>
      <c r="K169" s="18"/>
      <c r="L169" s="18"/>
      <c r="M169" s="18"/>
      <c r="P169" s="18"/>
      <c r="Q169" s="18"/>
      <c r="R169" s="43"/>
      <c r="S169" s="18"/>
      <c r="T169" s="18"/>
      <c r="U169" s="18"/>
      <c r="V169" s="43"/>
      <c r="W169" s="18"/>
      <c r="X169" s="18"/>
    </row>
    <row r="170" spans="1:26" x14ac:dyDescent="0.25">
      <c r="D170" s="18"/>
      <c r="E170" s="18"/>
      <c r="G170" s="18"/>
      <c r="H170" s="18"/>
      <c r="I170" s="18"/>
      <c r="J170" s="43"/>
      <c r="K170" s="18"/>
      <c r="L170" s="18"/>
      <c r="M170" s="18"/>
      <c r="P170" s="18"/>
      <c r="Q170" s="18"/>
      <c r="R170" s="43"/>
      <c r="S170" s="18"/>
      <c r="T170" s="18"/>
      <c r="U170" s="18"/>
      <c r="V170" s="43"/>
      <c r="W170" s="18"/>
      <c r="X170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  <outlinePr summaryBelow="0" summaryRight="0"/>
  </sheetPr>
  <dimension ref="A2:Z8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125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16536.91</v>
      </c>
      <c r="E12" s="4"/>
      <c r="F12" s="12"/>
      <c r="G12" s="4"/>
      <c r="H12" s="4">
        <f>SUM(OSRRefH13x_0)</f>
        <v>27900</v>
      </c>
      <c r="I12" s="4"/>
      <c r="J12" s="12"/>
      <c r="K12" s="4"/>
      <c r="L12" s="4">
        <f t="shared" ref="L12:L17" si="0">+D12-H12</f>
        <v>-11363.09</v>
      </c>
      <c r="M12" s="4"/>
      <c r="N12" s="12">
        <f t="shared" ref="N12:N17" si="1">IF(H12=0,0,L12/H12)</f>
        <v>-0.40727921146953405</v>
      </c>
      <c r="O12" s="10"/>
      <c r="P12" s="4">
        <f>SUM(OSRRefP13x_0)</f>
        <v>75012.580000000016</v>
      </c>
      <c r="Q12" s="4"/>
      <c r="R12" s="12"/>
      <c r="S12" s="4"/>
      <c r="T12" s="4">
        <f>SUM(OSRRefT13x_0)</f>
        <v>75300</v>
      </c>
      <c r="U12" s="4"/>
      <c r="V12" s="12"/>
      <c r="W12" s="4"/>
      <c r="X12" s="4">
        <f t="shared" ref="X12:X17" si="2">+P12-T12</f>
        <v>-287.4199999999837</v>
      </c>
      <c r="Y12" s="4"/>
      <c r="Z12" s="12">
        <f t="shared" ref="Z12:Z17" si="3">IF(T12=0,0,X12/T12)</f>
        <v>-3.8169986719785351E-3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--11641.04</f>
        <v>11641.04</v>
      </c>
      <c r="E13" s="2"/>
      <c r="F13" s="19"/>
      <c r="G13" s="2"/>
      <c r="H13" s="2">
        <v>13100</v>
      </c>
      <c r="I13" s="2"/>
      <c r="J13" s="19"/>
      <c r="K13" s="2"/>
      <c r="L13" s="2">
        <f t="shared" si="0"/>
        <v>-1458.9599999999991</v>
      </c>
      <c r="M13" s="2"/>
      <c r="N13" s="19">
        <f t="shared" si="1"/>
        <v>-0.11137099236641215</v>
      </c>
      <c r="O13" s="11"/>
      <c r="P13" s="2">
        <f>--66441.66</f>
        <v>66441.66</v>
      </c>
      <c r="Q13" s="2"/>
      <c r="R13" s="19"/>
      <c r="S13" s="2"/>
      <c r="T13" s="2">
        <v>50800</v>
      </c>
      <c r="U13" s="2"/>
      <c r="V13" s="19"/>
      <c r="W13" s="2"/>
      <c r="X13" s="2">
        <f t="shared" si="2"/>
        <v>15641.660000000003</v>
      </c>
      <c r="Y13" s="2"/>
      <c r="Z13" s="19">
        <f t="shared" si="3"/>
        <v>0.3079066929133859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--171.97</f>
        <v>171.97</v>
      </c>
      <c r="E14" s="2"/>
      <c r="F14" s="19"/>
      <c r="G14" s="2"/>
      <c r="H14" s="2">
        <v>14800</v>
      </c>
      <c r="I14" s="2"/>
      <c r="J14" s="19"/>
      <c r="K14" s="2"/>
      <c r="L14" s="2">
        <f t="shared" si="0"/>
        <v>-14628.03</v>
      </c>
      <c r="M14" s="2"/>
      <c r="N14" s="19">
        <f t="shared" si="1"/>
        <v>-0.9883804054054055</v>
      </c>
      <c r="O14" s="11"/>
      <c r="P14" s="2">
        <f>--1006.82</f>
        <v>1006.82</v>
      </c>
      <c r="Q14" s="2"/>
      <c r="R14" s="19"/>
      <c r="S14" s="2"/>
      <c r="T14" s="2">
        <v>24500</v>
      </c>
      <c r="U14" s="2"/>
      <c r="V14" s="19"/>
      <c r="W14" s="2"/>
      <c r="X14" s="2">
        <f t="shared" si="2"/>
        <v>-23493.18</v>
      </c>
      <c r="Y14" s="2"/>
      <c r="Z14" s="19">
        <f t="shared" si="3"/>
        <v>-0.95890530612244895</v>
      </c>
    </row>
    <row r="15" spans="1:26" s="24" customFormat="1" hidden="1" outlineLevel="1" x14ac:dyDescent="0.25">
      <c r="A15" s="44"/>
      <c r="B15" s="11" t="str">
        <f>CONCATENATE("          ", "4141", " - ", "NON-TAXABLE SALES-LOGO GIFTS")</f>
        <v xml:space="preserve">          4141 - NON-TAXABLE SALES-LOGO GIFTS</v>
      </c>
      <c r="C15" s="11"/>
      <c r="D15" s="2">
        <f>--71.05</f>
        <v>71.05</v>
      </c>
      <c r="E15" s="2"/>
      <c r="F15" s="19"/>
      <c r="G15" s="2"/>
      <c r="H15" s="2"/>
      <c r="I15" s="2"/>
      <c r="J15" s="19"/>
      <c r="K15" s="2"/>
      <c r="L15" s="2">
        <f t="shared" si="0"/>
        <v>71.05</v>
      </c>
      <c r="M15" s="2"/>
      <c r="N15" s="19">
        <f t="shared" si="1"/>
        <v>0</v>
      </c>
      <c r="O15" s="11"/>
      <c r="P15" s="2">
        <f>--460.55</f>
        <v>460.55</v>
      </c>
      <c r="Q15" s="2"/>
      <c r="R15" s="19"/>
      <c r="S15" s="2"/>
      <c r="T15" s="2"/>
      <c r="U15" s="2"/>
      <c r="V15" s="19"/>
      <c r="W15" s="2"/>
      <c r="X15" s="2">
        <f t="shared" si="2"/>
        <v>460.55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"4146", " - ", "NON-TAXABLE SALES-COIN OP MACH")</f>
        <v xml:space="preserve">          4146 - NON-TAXABLE SALES-COIN OP MACH</v>
      </c>
      <c r="C16" s="11"/>
      <c r="D16" s="2">
        <f>--4759.35</f>
        <v>4759.3500000000004</v>
      </c>
      <c r="E16" s="2"/>
      <c r="F16" s="19"/>
      <c r="G16" s="2"/>
      <c r="H16" s="2"/>
      <c r="I16" s="2"/>
      <c r="J16" s="19"/>
      <c r="K16" s="2"/>
      <c r="L16" s="2">
        <f t="shared" si="0"/>
        <v>4759.3500000000004</v>
      </c>
      <c r="M16" s="2"/>
      <c r="N16" s="19">
        <f t="shared" si="1"/>
        <v>0</v>
      </c>
      <c r="O16" s="11"/>
      <c r="P16" s="2">
        <f>--7492.95</f>
        <v>7492.95</v>
      </c>
      <c r="Q16" s="2"/>
      <c r="R16" s="19"/>
      <c r="S16" s="2"/>
      <c r="T16" s="2"/>
      <c r="U16" s="2"/>
      <c r="V16" s="19"/>
      <c r="W16" s="2"/>
      <c r="X16" s="2">
        <f t="shared" si="2"/>
        <v>7492.95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"4200", " - ", "TAXABLE RETURNS")</f>
        <v xml:space="preserve">          4200 - TAXABLE RETURNS</v>
      </c>
      <c r="C17" s="11"/>
      <c r="D17" s="2">
        <f>-106.5</f>
        <v>-106.5</v>
      </c>
      <c r="E17" s="2"/>
      <c r="F17" s="19"/>
      <c r="G17" s="2"/>
      <c r="H17" s="2"/>
      <c r="I17" s="2"/>
      <c r="J17" s="19"/>
      <c r="K17" s="2"/>
      <c r="L17" s="2">
        <f t="shared" si="0"/>
        <v>-106.5</v>
      </c>
      <c r="M17" s="2"/>
      <c r="N17" s="19">
        <f t="shared" si="1"/>
        <v>0</v>
      </c>
      <c r="O17" s="11"/>
      <c r="P17" s="2">
        <f>-389.4</f>
        <v>-389.4</v>
      </c>
      <c r="Q17" s="2"/>
      <c r="R17" s="19"/>
      <c r="S17" s="2"/>
      <c r="T17" s="2"/>
      <c r="U17" s="2"/>
      <c r="V17" s="19"/>
      <c r="W17" s="2"/>
      <c r="X17" s="2">
        <f t="shared" si="2"/>
        <v>-389.4</v>
      </c>
      <c r="Y17" s="2"/>
      <c r="Z17" s="19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6" t="s">
        <v>257</v>
      </c>
      <c r="C19" s="10"/>
      <c r="D19" s="4">
        <f>SUM(OSRRefD16x_0)</f>
        <v>0</v>
      </c>
      <c r="E19" s="4"/>
      <c r="F19" s="12">
        <f t="shared" ref="F19:F20" si="4">IF(D$12=0,0,D19/D$12)</f>
        <v>0</v>
      </c>
      <c r="G19" s="4"/>
      <c r="H19" s="4">
        <f>SUM(OSRRefH16x_0)</f>
        <v>0</v>
      </c>
      <c r="I19" s="4"/>
      <c r="J19" s="12">
        <f t="shared" ref="J19:J20" si="5">IF(H$12=0,0,H19/H$12)</f>
        <v>0</v>
      </c>
      <c r="K19" s="4"/>
      <c r="L19" s="4">
        <f t="shared" ref="L19:L20" si="6">+D19-H19</f>
        <v>0</v>
      </c>
      <c r="M19" s="4"/>
      <c r="N19" s="12">
        <f t="shared" ref="N19:N20" si="7">IF(H19=0,0,L19/H19)</f>
        <v>0</v>
      </c>
      <c r="O19" s="10"/>
      <c r="P19" s="4">
        <f>SUM(OSRRefP16x_0)</f>
        <v>0</v>
      </c>
      <c r="Q19" s="4"/>
      <c r="R19" s="12">
        <f t="shared" ref="R19:R20" si="8">IF(P$12=0,0,P19/P$12)</f>
        <v>0</v>
      </c>
      <c r="S19" s="4"/>
      <c r="T19" s="4">
        <f>SUM(OSRRefT16x_0)</f>
        <v>0</v>
      </c>
      <c r="U19" s="4"/>
      <c r="V19" s="12">
        <f t="shared" ref="V19:V20" si="9">IF(T$12=0,0,T19/T$12)</f>
        <v>0</v>
      </c>
      <c r="W19" s="4"/>
      <c r="X19" s="4">
        <f t="shared" ref="X19:X20" si="10">+P19-T19</f>
        <v>0</v>
      </c>
      <c r="Y19" s="4"/>
      <c r="Z19" s="12">
        <f t="shared" ref="Z19:Z20" si="11">IF(T19=0,0,X19/T19)</f>
        <v>0</v>
      </c>
    </row>
    <row r="20" spans="1:26" s="24" customFormat="1" hidden="1" outlineLevel="1" x14ac:dyDescent="0.25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4"/>
        <v>0</v>
      </c>
      <c r="G20" s="2"/>
      <c r="H20" s="2">
        <v>0</v>
      </c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/>
      <c r="Q20" s="2"/>
      <c r="R20" s="19">
        <f t="shared" si="8"/>
        <v>0</v>
      </c>
      <c r="S20" s="2"/>
      <c r="T20" s="2">
        <v>0</v>
      </c>
      <c r="U20" s="2"/>
      <c r="V20" s="19">
        <f t="shared" si="9"/>
        <v>0</v>
      </c>
      <c r="W20" s="2"/>
      <c r="X20" s="2">
        <f t="shared" si="10"/>
        <v>0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5" t="s">
        <v>108</v>
      </c>
      <c r="C22" s="25"/>
      <c r="D22" s="21">
        <f>D12-D19</f>
        <v>16536.91</v>
      </c>
      <c r="E22" s="13"/>
      <c r="F22" s="20">
        <f>IF(D$12=0,0,D22/D$12)</f>
        <v>1</v>
      </c>
      <c r="G22" s="13"/>
      <c r="H22" s="21">
        <f>H12-H19</f>
        <v>27900</v>
      </c>
      <c r="I22" s="13"/>
      <c r="J22" s="20">
        <f>IF(H$12=0,0,H22/H$12)</f>
        <v>1</v>
      </c>
      <c r="K22" s="16"/>
      <c r="L22" s="21">
        <f>+D22-H22</f>
        <v>-11363.09</v>
      </c>
      <c r="M22" s="16"/>
      <c r="N22" s="20">
        <f>IF(H22=0,0,L22/H22)</f>
        <v>-0.40727921146953405</v>
      </c>
      <c r="O22" s="26"/>
      <c r="P22" s="21">
        <f>P12-P19</f>
        <v>75012.580000000016</v>
      </c>
      <c r="Q22" s="13"/>
      <c r="R22" s="20">
        <f>IF(P$12=0,0,P22/P$12)</f>
        <v>1</v>
      </c>
      <c r="S22" s="13"/>
      <c r="T22" s="21">
        <f>T12-T19</f>
        <v>75300</v>
      </c>
      <c r="U22" s="13"/>
      <c r="V22" s="20">
        <f>IF(T$12=0,0,T22/T$12)</f>
        <v>1</v>
      </c>
      <c r="W22" s="16"/>
      <c r="X22" s="21">
        <f>+P22-T22</f>
        <v>-287.4199999999837</v>
      </c>
      <c r="Y22" s="16"/>
      <c r="Z22" s="20">
        <f>IF(T22=0,0,X22/T22)</f>
        <v>-3.8169986719785351E-3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6" t="s">
        <v>295</v>
      </c>
      <c r="C24" s="10"/>
      <c r="D24" s="22">
        <f>SUM(OSRRefD22x_0)</f>
        <v>34563.810000000005</v>
      </c>
      <c r="E24" s="22"/>
      <c r="F24" s="32">
        <f t="shared" ref="F24:F34" si="12">IF(D$12=0,0,D24/D$12)</f>
        <v>2.0901008713236031</v>
      </c>
      <c r="G24" s="22"/>
      <c r="H24" s="22">
        <f>SUM(OSRRefH22x_0)</f>
        <v>27431.002261923066</v>
      </c>
      <c r="I24" s="22"/>
      <c r="J24" s="32">
        <f t="shared" ref="J24:J34" si="13">IF(H$12=0,0,H24/H$12)</f>
        <v>0.98319004523021736</v>
      </c>
      <c r="K24" s="4"/>
      <c r="L24" s="22">
        <f t="shared" ref="L24:L34" si="14">+D24-H24</f>
        <v>7132.8077380769391</v>
      </c>
      <c r="M24" s="4"/>
      <c r="N24" s="32">
        <f t="shared" ref="N24:N34" si="15">IF(H24=0,0,L24/H24)</f>
        <v>0.26002723742901585</v>
      </c>
      <c r="O24" s="10"/>
      <c r="P24" s="22">
        <f>SUM(OSRRefP22x_0)</f>
        <v>90061.099999999991</v>
      </c>
      <c r="Q24" s="22"/>
      <c r="R24" s="32">
        <f t="shared" ref="R24:R34" si="16">IF(P$12=0,0,P24/P$12)</f>
        <v>1.2006132837985304</v>
      </c>
      <c r="S24" s="22"/>
      <c r="T24" s="22">
        <f>SUM(OSRRefT22x_0)</f>
        <v>70338.915821442366</v>
      </c>
      <c r="U24" s="22"/>
      <c r="V24" s="32">
        <f t="shared" ref="V24:V34" si="17">IF(T$12=0,0,T24/T$12)</f>
        <v>0.93411574796072194</v>
      </c>
      <c r="W24" s="4"/>
      <c r="X24" s="22">
        <f t="shared" ref="X24:X34" si="18">+P24-T24</f>
        <v>19722.184178557625</v>
      </c>
      <c r="Y24" s="4"/>
      <c r="Z24" s="32">
        <f t="shared" ref="Z24:Z34" si="19">IF(T24=0,0,X24/T24)</f>
        <v>0.2803879466755364</v>
      </c>
    </row>
    <row r="25" spans="1:26" s="28" customFormat="1" outlineLevel="1" collapsed="1" x14ac:dyDescent="0.25">
      <c r="A25" s="27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SUM(OSRRefD22_0x_0)</f>
        <v>8204.0700000000015</v>
      </c>
      <c r="E25" s="1"/>
      <c r="F25" s="5">
        <f t="shared" si="12"/>
        <v>0.49610658823202169</v>
      </c>
      <c r="G25" s="1"/>
      <c r="H25" s="1">
        <f>SUM(OSRRefH22_0x_0)</f>
        <v>6733.2176465384664</v>
      </c>
      <c r="I25" s="1"/>
      <c r="J25" s="5">
        <f t="shared" si="13"/>
        <v>0.24133396582575148</v>
      </c>
      <c r="K25" s="1"/>
      <c r="L25" s="1">
        <f t="shared" si="14"/>
        <v>1470.8523534615351</v>
      </c>
      <c r="M25" s="1"/>
      <c r="N25" s="5">
        <f t="shared" si="15"/>
        <v>0.21844717201703667</v>
      </c>
      <c r="O25" s="14"/>
      <c r="P25" s="1">
        <f>SUM(OSRRefP22_0x_0)</f>
        <v>26299.750000000004</v>
      </c>
      <c r="Q25" s="1"/>
      <c r="R25" s="5">
        <f t="shared" si="16"/>
        <v>0.35060452526762842</v>
      </c>
      <c r="S25" s="1"/>
      <c r="T25" s="1">
        <f>SUM(OSRRefT22_0x_0)</f>
        <v>25900.916782980767</v>
      </c>
      <c r="U25" s="1"/>
      <c r="V25" s="5">
        <f t="shared" si="17"/>
        <v>0.34396967839283887</v>
      </c>
      <c r="W25" s="1"/>
      <c r="X25" s="1">
        <f t="shared" si="18"/>
        <v>398.83321701923705</v>
      </c>
      <c r="Y25" s="1"/>
      <c r="Z25" s="5">
        <f t="shared" si="19"/>
        <v>1.5398420849771093E-2</v>
      </c>
    </row>
    <row r="26" spans="1:26" s="24" customFormat="1" hidden="1" outlineLevel="2" x14ac:dyDescent="0.25">
      <c r="A26" s="29"/>
      <c r="B26" s="11" t="str">
        <f>CONCATENATE("          ", "6111", " - ", "F.I.C.A.")</f>
        <v xml:space="preserve">          6111 - F.I.C.A.</v>
      </c>
      <c r="C26" s="11"/>
      <c r="D26" s="7">
        <v>1244.83</v>
      </c>
      <c r="E26" s="2"/>
      <c r="F26" s="6">
        <f t="shared" si="12"/>
        <v>7.5275852623011189E-2</v>
      </c>
      <c r="G26" s="2"/>
      <c r="H26" s="7">
        <v>1058.6071119230801</v>
      </c>
      <c r="I26" s="2"/>
      <c r="J26" s="6">
        <f t="shared" si="13"/>
        <v>3.7942907237386386E-2</v>
      </c>
      <c r="K26" s="2"/>
      <c r="L26" s="7">
        <f t="shared" si="14"/>
        <v>186.22288807691984</v>
      </c>
      <c r="M26" s="2"/>
      <c r="N26" s="6">
        <f t="shared" si="15"/>
        <v>0.17591312771234346</v>
      </c>
      <c r="O26" s="11"/>
      <c r="P26" s="7">
        <v>3879.74</v>
      </c>
      <c r="Q26" s="2"/>
      <c r="R26" s="6">
        <f t="shared" si="16"/>
        <v>5.1721191298846128E-2</v>
      </c>
      <c r="S26" s="2"/>
      <c r="T26" s="7">
        <v>4037.8707089423101</v>
      </c>
      <c r="U26" s="2"/>
      <c r="V26" s="6">
        <f t="shared" si="17"/>
        <v>5.3623780995249802E-2</v>
      </c>
      <c r="W26" s="2"/>
      <c r="X26" s="7">
        <f t="shared" si="18"/>
        <v>-158.13070894231032</v>
      </c>
      <c r="Y26" s="2"/>
      <c r="Z26" s="6">
        <f t="shared" si="19"/>
        <v>-3.9161904959490762E-2</v>
      </c>
    </row>
    <row r="27" spans="1:26" s="24" customFormat="1" hidden="1" outlineLevel="2" x14ac:dyDescent="0.25">
      <c r="A27" s="29"/>
      <c r="B27" s="11" t="str">
        <f>CONCATENATE("          ", "6112", " - ", "COMPENSATION INSURANCE")</f>
        <v xml:space="preserve">          6112 - COMPENSATION INSURANCE</v>
      </c>
      <c r="C27" s="11"/>
      <c r="D27" s="7">
        <v>291.74</v>
      </c>
      <c r="E27" s="2"/>
      <c r="F27" s="6">
        <f t="shared" si="12"/>
        <v>1.7641748065388273E-2</v>
      </c>
      <c r="G27" s="2"/>
      <c r="H27" s="7">
        <v>215.78819999999999</v>
      </c>
      <c r="I27" s="2"/>
      <c r="J27" s="6">
        <f t="shared" si="13"/>
        <v>7.7343440860215048E-3</v>
      </c>
      <c r="K27" s="2"/>
      <c r="L27" s="7">
        <f t="shared" si="14"/>
        <v>75.95180000000002</v>
      </c>
      <c r="M27" s="2"/>
      <c r="N27" s="6">
        <f t="shared" si="15"/>
        <v>0.35197383360165208</v>
      </c>
      <c r="O27" s="11"/>
      <c r="P27" s="7">
        <v>828.47</v>
      </c>
      <c r="Q27" s="2"/>
      <c r="R27" s="6">
        <f t="shared" si="16"/>
        <v>1.1044414150266527E-2</v>
      </c>
      <c r="S27" s="2"/>
      <c r="T27" s="7">
        <v>823.08614999999998</v>
      </c>
      <c r="U27" s="2"/>
      <c r="V27" s="6">
        <f t="shared" si="17"/>
        <v>1.0930758964143425E-2</v>
      </c>
      <c r="W27" s="2"/>
      <c r="X27" s="7">
        <f t="shared" si="18"/>
        <v>5.3838500000000522</v>
      </c>
      <c r="Y27" s="2"/>
      <c r="Z27" s="6">
        <f t="shared" si="19"/>
        <v>6.5410528411880726E-3</v>
      </c>
    </row>
    <row r="28" spans="1:26" s="24" customFormat="1" hidden="1" outlineLevel="2" x14ac:dyDescent="0.25">
      <c r="A28" s="29"/>
      <c r="B28" s="11" t="str">
        <f>CONCATENATE("          ", "6113", " - ", "GROUP INSURANCE")</f>
        <v xml:space="preserve">          6113 - GROUP INSURANCE</v>
      </c>
      <c r="C28" s="11"/>
      <c r="D28" s="7">
        <v>3443.98</v>
      </c>
      <c r="E28" s="2"/>
      <c r="F28" s="6">
        <f t="shared" si="12"/>
        <v>0.20826018887446324</v>
      </c>
      <c r="G28" s="2"/>
      <c r="H28" s="7">
        <v>2314.5</v>
      </c>
      <c r="I28" s="2"/>
      <c r="J28" s="6">
        <f t="shared" si="13"/>
        <v>8.2956989247311833E-2</v>
      </c>
      <c r="K28" s="2"/>
      <c r="L28" s="7">
        <f t="shared" si="14"/>
        <v>1129.48</v>
      </c>
      <c r="M28" s="2"/>
      <c r="N28" s="6">
        <f t="shared" si="15"/>
        <v>0.48800172823503996</v>
      </c>
      <c r="O28" s="11"/>
      <c r="P28" s="7">
        <v>10264.44</v>
      </c>
      <c r="Q28" s="2"/>
      <c r="R28" s="6">
        <f t="shared" si="16"/>
        <v>0.1368362480000021</v>
      </c>
      <c r="S28" s="2"/>
      <c r="T28" s="7">
        <v>8920.5</v>
      </c>
      <c r="U28" s="2"/>
      <c r="V28" s="6">
        <f t="shared" si="17"/>
        <v>0.11846613545816734</v>
      </c>
      <c r="W28" s="2"/>
      <c r="X28" s="7">
        <f t="shared" si="18"/>
        <v>1343.9400000000005</v>
      </c>
      <c r="Y28" s="2"/>
      <c r="Z28" s="6">
        <f t="shared" si="19"/>
        <v>0.15065747435681862</v>
      </c>
    </row>
    <row r="29" spans="1:26" s="24" customFormat="1" hidden="1" outlineLevel="2" x14ac:dyDescent="0.25">
      <c r="A29" s="29"/>
      <c r="B29" s="11" t="str">
        <f>CONCATENATE("          ", "6114", " - ", "STATE UNEMPLOYMENT INSURANCE")</f>
        <v xml:space="preserve">          6114 - STATE UNEMPLOYMENT INSURANCE</v>
      </c>
      <c r="C29" s="11"/>
      <c r="D29" s="7">
        <v>51.25</v>
      </c>
      <c r="E29" s="2"/>
      <c r="F29" s="6">
        <f t="shared" si="12"/>
        <v>3.0991279507477515E-3</v>
      </c>
      <c r="G29" s="2"/>
      <c r="H29" s="7">
        <v>29.048411538461501</v>
      </c>
      <c r="I29" s="2"/>
      <c r="J29" s="6">
        <f t="shared" si="13"/>
        <v>1.0411617038875089E-3</v>
      </c>
      <c r="K29" s="2"/>
      <c r="L29" s="7">
        <f t="shared" si="14"/>
        <v>22.201588461538499</v>
      </c>
      <c r="M29" s="2"/>
      <c r="N29" s="6">
        <f t="shared" si="15"/>
        <v>0.76429612793603263</v>
      </c>
      <c r="O29" s="11"/>
      <c r="P29" s="7">
        <v>145.54</v>
      </c>
      <c r="Q29" s="2"/>
      <c r="R29" s="6">
        <f t="shared" si="16"/>
        <v>1.9402078957956113E-3</v>
      </c>
      <c r="S29" s="2"/>
      <c r="T29" s="7">
        <v>110.80005865384599</v>
      </c>
      <c r="U29" s="2"/>
      <c r="V29" s="6">
        <f t="shared" si="17"/>
        <v>1.4714483220962284E-3</v>
      </c>
      <c r="W29" s="2"/>
      <c r="X29" s="7">
        <f t="shared" si="18"/>
        <v>34.739941346153998</v>
      </c>
      <c r="Y29" s="2"/>
      <c r="Z29" s="6">
        <f t="shared" si="19"/>
        <v>0.3135372107941401</v>
      </c>
    </row>
    <row r="30" spans="1:26" s="24" customFormat="1" hidden="1" outlineLevel="2" x14ac:dyDescent="0.25">
      <c r="A30" s="29"/>
      <c r="B30" s="11" t="str">
        <f>CONCATENATE("          ", "6115", " - ", "P.E.R.S.")</f>
        <v xml:space="preserve">          6115 - P.E.R.S.</v>
      </c>
      <c r="C30" s="11"/>
      <c r="D30" s="7">
        <v>1590.79</v>
      </c>
      <c r="E30" s="2"/>
      <c r="F30" s="6">
        <f t="shared" si="12"/>
        <v>9.6196326883317376E-2</v>
      </c>
      <c r="G30" s="2"/>
      <c r="H30" s="7">
        <v>1093.28161538462</v>
      </c>
      <c r="I30" s="2"/>
      <c r="J30" s="6">
        <f t="shared" si="13"/>
        <v>3.9185720981527596E-2</v>
      </c>
      <c r="K30" s="2"/>
      <c r="L30" s="7">
        <f t="shared" si="14"/>
        <v>497.50838461538001</v>
      </c>
      <c r="M30" s="2"/>
      <c r="N30" s="6">
        <f t="shared" si="15"/>
        <v>0.45505968234941457</v>
      </c>
      <c r="O30" s="11"/>
      <c r="P30" s="7">
        <v>4772.37</v>
      </c>
      <c r="Q30" s="2"/>
      <c r="R30" s="6">
        <f t="shared" si="16"/>
        <v>6.3620928649567837E-2</v>
      </c>
      <c r="S30" s="2"/>
      <c r="T30" s="7">
        <v>4296.7262115384601</v>
      </c>
      <c r="U30" s="2"/>
      <c r="V30" s="6">
        <f t="shared" si="17"/>
        <v>5.7061437072223907E-2</v>
      </c>
      <c r="W30" s="2"/>
      <c r="X30" s="7">
        <f t="shared" si="18"/>
        <v>475.64378846153977</v>
      </c>
      <c r="Y30" s="2"/>
      <c r="Z30" s="6">
        <f t="shared" si="19"/>
        <v>0.11069911487128094</v>
      </c>
    </row>
    <row r="31" spans="1:26" s="24" customFormat="1" hidden="1" outlineLevel="2" x14ac:dyDescent="0.25">
      <c r="A31" s="29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9"/>
      <c r="B32" s="11" t="str">
        <f>CONCATENATE("          ", "6118", " - ", "VACATION")</f>
        <v xml:space="preserve">          6118 - VACATION</v>
      </c>
      <c r="C32" s="11"/>
      <c r="D32" s="7">
        <v>697.52</v>
      </c>
      <c r="E32" s="2"/>
      <c r="F32" s="6">
        <f t="shared" si="12"/>
        <v>4.2179584940596516E-2</v>
      </c>
      <c r="G32" s="2"/>
      <c r="H32" s="7">
        <v>1005.16115384615</v>
      </c>
      <c r="I32" s="2"/>
      <c r="J32" s="6">
        <f t="shared" si="13"/>
        <v>3.6027281499862007E-2</v>
      </c>
      <c r="K32" s="2"/>
      <c r="L32" s="7">
        <f t="shared" si="14"/>
        <v>-307.64115384615002</v>
      </c>
      <c r="M32" s="2"/>
      <c r="N32" s="6">
        <f t="shared" si="15"/>
        <v>-0.30606152323832997</v>
      </c>
      <c r="O32" s="11"/>
      <c r="P32" s="7">
        <v>3129.72</v>
      </c>
      <c r="Q32" s="2"/>
      <c r="R32" s="6">
        <f t="shared" si="16"/>
        <v>4.1722601728936652E-2</v>
      </c>
      <c r="S32" s="2"/>
      <c r="T32" s="7">
        <v>4131.3795192307598</v>
      </c>
      <c r="U32" s="2"/>
      <c r="V32" s="6">
        <f t="shared" si="17"/>
        <v>5.4865597864950329E-2</v>
      </c>
      <c r="W32" s="2"/>
      <c r="X32" s="7">
        <f t="shared" si="18"/>
        <v>-1001.65951923076</v>
      </c>
      <c r="Y32" s="2"/>
      <c r="Z32" s="6">
        <f t="shared" si="19"/>
        <v>-0.24245158658705446</v>
      </c>
    </row>
    <row r="33" spans="1:26" s="24" customFormat="1" hidden="1" outlineLevel="2" x14ac:dyDescent="0.25">
      <c r="A33" s="29"/>
      <c r="B33" s="11" t="str">
        <f>CONCATENATE("          ", "6119", " - ", "SICK LEAVE")</f>
        <v xml:space="preserve">          6119 - SICK LEAVE</v>
      </c>
      <c r="C33" s="11"/>
      <c r="D33" s="7">
        <v>566.41999999999996</v>
      </c>
      <c r="E33" s="2"/>
      <c r="F33" s="6">
        <f t="shared" si="12"/>
        <v>3.4251864465610564E-2</v>
      </c>
      <c r="G33" s="2"/>
      <c r="H33" s="7">
        <v>491.83115384615502</v>
      </c>
      <c r="I33" s="2"/>
      <c r="J33" s="6">
        <f t="shared" si="13"/>
        <v>1.7628356768679392E-2</v>
      </c>
      <c r="K33" s="2"/>
      <c r="L33" s="7">
        <f t="shared" si="14"/>
        <v>74.588846153844941</v>
      </c>
      <c r="M33" s="2"/>
      <c r="N33" s="6">
        <f t="shared" si="15"/>
        <v>0.15165539142967011</v>
      </c>
      <c r="O33" s="11"/>
      <c r="P33" s="7">
        <v>2043.42</v>
      </c>
      <c r="Q33" s="2"/>
      <c r="R33" s="6">
        <f t="shared" si="16"/>
        <v>2.7241030771105321E-2</v>
      </c>
      <c r="S33" s="2"/>
      <c r="T33" s="7">
        <v>2005.55413461539</v>
      </c>
      <c r="U33" s="2"/>
      <c r="V33" s="6">
        <f t="shared" si="17"/>
        <v>2.6634185054653255E-2</v>
      </c>
      <c r="W33" s="2"/>
      <c r="X33" s="7">
        <f t="shared" si="18"/>
        <v>37.865865384610061</v>
      </c>
      <c r="Y33" s="2"/>
      <c r="Z33" s="6">
        <f t="shared" si="19"/>
        <v>1.888050027224605E-2</v>
      </c>
    </row>
    <row r="34" spans="1:26" s="24" customFormat="1" hidden="1" outlineLevel="2" x14ac:dyDescent="0.25">
      <c r="A34" s="29"/>
      <c r="B34" s="11" t="str">
        <f>CONCATENATE("          ", "6156", " - ", "EMPLOYEE MEALS")</f>
        <v xml:space="preserve">          6156 - EMPLOYEE MEALS</v>
      </c>
      <c r="C34" s="11"/>
      <c r="D34" s="7">
        <v>317.54000000000002</v>
      </c>
      <c r="E34" s="2"/>
      <c r="F34" s="6">
        <f t="shared" si="12"/>
        <v>1.9201894428886656E-2</v>
      </c>
      <c r="G34" s="2"/>
      <c r="H34" s="7">
        <v>525</v>
      </c>
      <c r="I34" s="2"/>
      <c r="J34" s="6">
        <f t="shared" si="13"/>
        <v>1.8817204301075269E-2</v>
      </c>
      <c r="K34" s="2"/>
      <c r="L34" s="7">
        <f t="shared" si="14"/>
        <v>-207.45999999999998</v>
      </c>
      <c r="M34" s="2"/>
      <c r="N34" s="6">
        <f t="shared" si="15"/>
        <v>-0.39516190476190471</v>
      </c>
      <c r="O34" s="11"/>
      <c r="P34" s="7">
        <v>1236.05</v>
      </c>
      <c r="Q34" s="2"/>
      <c r="R34" s="6">
        <f t="shared" si="16"/>
        <v>1.6477902773108188E-2</v>
      </c>
      <c r="S34" s="2"/>
      <c r="T34" s="7">
        <v>1575</v>
      </c>
      <c r="U34" s="2"/>
      <c r="V34" s="6">
        <f t="shared" si="17"/>
        <v>2.091633466135458E-2</v>
      </c>
      <c r="W34" s="2"/>
      <c r="X34" s="7">
        <f t="shared" si="18"/>
        <v>-338.95000000000005</v>
      </c>
      <c r="Y34" s="2"/>
      <c r="Z34" s="6">
        <f t="shared" si="19"/>
        <v>-0.21520634920634923</v>
      </c>
    </row>
    <row r="35" spans="1:26" s="28" customFormat="1" outlineLevel="1" collapsed="1" x14ac:dyDescent="0.25">
      <c r="A35" s="27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17178.86</v>
      </c>
      <c r="E35" s="1"/>
      <c r="F35" s="5">
        <f t="shared" ref="F35:F45" si="20">IF(D$12=0,0,D35/D$12)</f>
        <v>1.0388192231801467</v>
      </c>
      <c r="G35" s="1"/>
      <c r="H35" s="1">
        <f>SUM(OSRRefH22_1x_0)</f>
        <v>12402.7846153846</v>
      </c>
      <c r="I35" s="1"/>
      <c r="J35" s="5">
        <f t="shared" ref="J35:J45" si="21">IF(H$12=0,0,H35/H$12)</f>
        <v>0.44454425144747672</v>
      </c>
      <c r="K35" s="1"/>
      <c r="L35" s="1">
        <f t="shared" ref="L35:L45" si="22">+D35-H35</f>
        <v>4776.0753846154003</v>
      </c>
      <c r="M35" s="1"/>
      <c r="N35" s="5">
        <f t="shared" ref="N35:N45" si="23">IF(H35=0,0,L35/H35)</f>
        <v>0.38508089374470672</v>
      </c>
      <c r="O35" s="14"/>
      <c r="P35" s="1">
        <f>SUM(OSRRefP22_1x_0)</f>
        <v>54561.1</v>
      </c>
      <c r="Q35" s="1"/>
      <c r="R35" s="5">
        <f t="shared" ref="R35:R45" si="24">IF(P$12=0,0,P35/P$12)</f>
        <v>0.72735933092822547</v>
      </c>
      <c r="S35" s="1"/>
      <c r="T35" s="1">
        <f>SUM(OSRRefT22_1x_0)</f>
        <v>46792.999038461603</v>
      </c>
      <c r="U35" s="1"/>
      <c r="V35" s="5">
        <f t="shared" ref="V35:V45" si="25">IF(T$12=0,0,T35/T$12)</f>
        <v>0.62142096996628959</v>
      </c>
      <c r="W35" s="1"/>
      <c r="X35" s="1">
        <f t="shared" ref="X35:X45" si="26">+P35-T35</f>
        <v>7768.1009615383955</v>
      </c>
      <c r="Y35" s="1"/>
      <c r="Z35" s="5">
        <f t="shared" ref="Z35:Z45" si="27">IF(T35=0,0,X35/T35)</f>
        <v>0.16600989723170742</v>
      </c>
    </row>
    <row r="36" spans="1:26" s="24" customFormat="1" hidden="1" outlineLevel="2" x14ac:dyDescent="0.25">
      <c r="A36" s="29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9"/>
      <c r="B37" s="11" t="str">
        <f>CONCATENATE("          ", "6002", " - ", "STAFF SALARIES")</f>
        <v xml:space="preserve">          6002 - STAFF SALARIES</v>
      </c>
      <c r="C37" s="11"/>
      <c r="D37" s="7">
        <v>14552.52</v>
      </c>
      <c r="E37" s="2"/>
      <c r="F37" s="6">
        <f t="shared" si="20"/>
        <v>0.8800023704549399</v>
      </c>
      <c r="G37" s="2"/>
      <c r="H37" s="7">
        <v>11249.1846153846</v>
      </c>
      <c r="I37" s="2"/>
      <c r="J37" s="6">
        <f t="shared" si="21"/>
        <v>0.40319658119658064</v>
      </c>
      <c r="K37" s="2"/>
      <c r="L37" s="7">
        <f t="shared" si="22"/>
        <v>3303.3353846154005</v>
      </c>
      <c r="M37" s="2"/>
      <c r="N37" s="6">
        <f t="shared" si="23"/>
        <v>0.29365109539563389</v>
      </c>
      <c r="O37" s="11"/>
      <c r="P37" s="7">
        <v>48819.14</v>
      </c>
      <c r="Q37" s="2"/>
      <c r="R37" s="6">
        <f t="shared" si="24"/>
        <v>0.65081270368250221</v>
      </c>
      <c r="S37" s="2"/>
      <c r="T37" s="7">
        <v>43908.999038461603</v>
      </c>
      <c r="U37" s="2"/>
      <c r="V37" s="6">
        <f t="shared" si="25"/>
        <v>0.58312083716416474</v>
      </c>
      <c r="W37" s="2"/>
      <c r="X37" s="7">
        <f t="shared" si="26"/>
        <v>4910.1409615383964</v>
      </c>
      <c r="Y37" s="2"/>
      <c r="Z37" s="6">
        <f t="shared" si="27"/>
        <v>0.11182539044530286</v>
      </c>
    </row>
    <row r="38" spans="1:26" s="24" customFormat="1" hidden="1" outlineLevel="2" x14ac:dyDescent="0.25">
      <c r="A38" s="29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9"/>
      <c r="B40" s="11" t="str">
        <f>CONCATENATE("          ", "6005", " - ", "TEMPORARY WAGES-HOURLY")</f>
        <v xml:space="preserve">          6005 - TEMPORARY WAGES-HOURLY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9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9"/>
      <c r="B42" s="11" t="str">
        <f>CONCATENATE("          ", "6007", " - ", "STUDENT HOURLY")</f>
        <v xml:space="preserve">          6007 - STUDENT HOURLY</v>
      </c>
      <c r="C42" s="11"/>
      <c r="D42" s="7">
        <v>2626.34</v>
      </c>
      <c r="E42" s="2"/>
      <c r="F42" s="6">
        <f t="shared" si="20"/>
        <v>0.15881685272520685</v>
      </c>
      <c r="G42" s="2"/>
      <c r="H42" s="7">
        <v>1153.5999999999999</v>
      </c>
      <c r="I42" s="2"/>
      <c r="J42" s="6">
        <f t="shared" si="21"/>
        <v>4.1347670250896057E-2</v>
      </c>
      <c r="K42" s="2"/>
      <c r="L42" s="7">
        <f t="shared" si="22"/>
        <v>1472.7400000000002</v>
      </c>
      <c r="M42" s="2"/>
      <c r="N42" s="6">
        <f t="shared" si="23"/>
        <v>1.2766470180305134</v>
      </c>
      <c r="O42" s="11"/>
      <c r="P42" s="7">
        <v>5741.96</v>
      </c>
      <c r="Q42" s="2"/>
      <c r="R42" s="6">
        <f t="shared" si="24"/>
        <v>7.6546627245723295E-2</v>
      </c>
      <c r="S42" s="2"/>
      <c r="T42" s="7">
        <v>2884</v>
      </c>
      <c r="U42" s="2"/>
      <c r="V42" s="6">
        <f t="shared" si="25"/>
        <v>3.8300132802124832E-2</v>
      </c>
      <c r="W42" s="2"/>
      <c r="X42" s="7">
        <f t="shared" si="26"/>
        <v>2857.96</v>
      </c>
      <c r="Y42" s="2"/>
      <c r="Z42" s="6">
        <f t="shared" si="27"/>
        <v>0.9909708737864078</v>
      </c>
    </row>
    <row r="43" spans="1:26" s="24" customFormat="1" hidden="1" outlineLevel="2" x14ac:dyDescent="0.25">
      <c r="A43" s="29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9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9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8" customFormat="1" outlineLevel="1" collapsed="1" x14ac:dyDescent="0.25">
      <c r="A46" s="27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SUM(OSRRefD22_2x_0)</f>
        <v>0</v>
      </c>
      <c r="E46" s="1"/>
      <c r="F46" s="5">
        <f t="shared" ref="F46:F54" si="28">IF(D$12=0,0,D46/D$12)</f>
        <v>0</v>
      </c>
      <c r="G46" s="1"/>
      <c r="H46" s="1">
        <f>SUM(OSRRefH22_2x_0)</f>
        <v>50</v>
      </c>
      <c r="I46" s="1"/>
      <c r="J46" s="5">
        <f t="shared" ref="J46:J54" si="29">IF(H$12=0,0,H46/H$12)</f>
        <v>1.7921146953405018E-3</v>
      </c>
      <c r="K46" s="1"/>
      <c r="L46" s="1">
        <f t="shared" ref="L46:L54" si="30">+D46-H46</f>
        <v>-50</v>
      </c>
      <c r="M46" s="1"/>
      <c r="N46" s="5">
        <f t="shared" ref="N46:N54" si="31">IF(H46=0,0,L46/H46)</f>
        <v>-1</v>
      </c>
      <c r="O46" s="14"/>
      <c r="P46" s="1">
        <f>SUM(OSRRefP22_2x_0)</f>
        <v>0</v>
      </c>
      <c r="Q46" s="1"/>
      <c r="R46" s="5">
        <f t="shared" ref="R46:R54" si="32">IF(P$12=0,0,P46/P$12)</f>
        <v>0</v>
      </c>
      <c r="S46" s="1"/>
      <c r="T46" s="1">
        <f>SUM(OSRRefT22_2x_0)</f>
        <v>150</v>
      </c>
      <c r="U46" s="1"/>
      <c r="V46" s="5">
        <f t="shared" ref="V46:V54" si="33">IF(T$12=0,0,T46/T$12)</f>
        <v>1.9920318725099601E-3</v>
      </c>
      <c r="W46" s="1"/>
      <c r="X46" s="1">
        <f t="shared" ref="X46:X54" si="34">+P46-T46</f>
        <v>-150</v>
      </c>
      <c r="Y46" s="1"/>
      <c r="Z46" s="5">
        <f t="shared" ref="Z46:Z54" si="35">IF(T46=0,0,X46/T46)</f>
        <v>-1</v>
      </c>
    </row>
    <row r="47" spans="1:26" s="24" customFormat="1" hidden="1" outlineLevel="2" x14ac:dyDescent="0.25">
      <c r="A47" s="29"/>
      <c r="B47" s="11" t="str">
        <f>CONCATENATE("          ", "6362", " - ", "ADVERTISING EXPENSE")</f>
        <v xml:space="preserve">          6362 - ADVERTISING EXPENSE</v>
      </c>
      <c r="C47" s="11"/>
      <c r="D47" s="7"/>
      <c r="E47" s="2"/>
      <c r="F47" s="6">
        <f t="shared" si="28"/>
        <v>0</v>
      </c>
      <c r="G47" s="2"/>
      <c r="H47" s="7">
        <v>50</v>
      </c>
      <c r="I47" s="2"/>
      <c r="J47" s="6">
        <f t="shared" si="29"/>
        <v>1.7921146953405018E-3</v>
      </c>
      <c r="K47" s="2"/>
      <c r="L47" s="7">
        <f t="shared" si="30"/>
        <v>-50</v>
      </c>
      <c r="M47" s="2"/>
      <c r="N47" s="6">
        <f t="shared" si="31"/>
        <v>-1</v>
      </c>
      <c r="O47" s="11"/>
      <c r="P47" s="7"/>
      <c r="Q47" s="2"/>
      <c r="R47" s="6">
        <f t="shared" si="32"/>
        <v>0</v>
      </c>
      <c r="S47" s="2"/>
      <c r="T47" s="7">
        <v>150</v>
      </c>
      <c r="U47" s="2"/>
      <c r="V47" s="6">
        <f t="shared" si="33"/>
        <v>1.9920318725099601E-3</v>
      </c>
      <c r="W47" s="2"/>
      <c r="X47" s="7">
        <f t="shared" si="34"/>
        <v>-150</v>
      </c>
      <c r="Y47" s="2"/>
      <c r="Z47" s="6">
        <f t="shared" si="35"/>
        <v>-1</v>
      </c>
    </row>
    <row r="48" spans="1:26" s="28" customFormat="1" outlineLevel="1" collapsed="1" x14ac:dyDescent="0.25">
      <c r="A48" s="27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SUM(OSRRefD22_3x_0)</f>
        <v>169.88</v>
      </c>
      <c r="E48" s="1"/>
      <c r="F48" s="5">
        <f t="shared" si="28"/>
        <v>1.0272777683376156E-2</v>
      </c>
      <c r="G48" s="1"/>
      <c r="H48" s="1">
        <f>SUM(OSRRefH22_3x_0)</f>
        <v>170</v>
      </c>
      <c r="I48" s="1"/>
      <c r="J48" s="5">
        <f t="shared" si="29"/>
        <v>6.0931899641577065E-3</v>
      </c>
      <c r="K48" s="1"/>
      <c r="L48" s="1">
        <f t="shared" si="30"/>
        <v>-0.12000000000000455</v>
      </c>
      <c r="M48" s="1"/>
      <c r="N48" s="5">
        <f t="shared" si="31"/>
        <v>-7.0588235294120319E-4</v>
      </c>
      <c r="O48" s="14"/>
      <c r="P48" s="1">
        <f>SUM(OSRRefP22_3x_0)</f>
        <v>509.64</v>
      </c>
      <c r="Q48" s="1"/>
      <c r="R48" s="5">
        <f t="shared" si="32"/>
        <v>6.7940604096006279E-3</v>
      </c>
      <c r="S48" s="1"/>
      <c r="T48" s="1">
        <f>SUM(OSRRefT22_3x_0)</f>
        <v>510</v>
      </c>
      <c r="U48" s="1"/>
      <c r="V48" s="5">
        <f t="shared" si="33"/>
        <v>6.7729083665338643E-3</v>
      </c>
      <c r="W48" s="1"/>
      <c r="X48" s="1">
        <f t="shared" si="34"/>
        <v>-0.36000000000001364</v>
      </c>
      <c r="Y48" s="1"/>
      <c r="Z48" s="5">
        <f t="shared" si="35"/>
        <v>-7.0588235294120319E-4</v>
      </c>
    </row>
    <row r="49" spans="1:26" s="24" customFormat="1" hidden="1" outlineLevel="2" x14ac:dyDescent="0.25">
      <c r="A49" s="29"/>
      <c r="B49" s="11" t="str">
        <f>CONCATENATE("          ", "6322", " - ", "EQUIPMENT DEPRECIATION EXPENSE")</f>
        <v xml:space="preserve">          6322 - EQUIPMENT DEPRECIATION EXPENSE</v>
      </c>
      <c r="C49" s="11"/>
      <c r="D49" s="7">
        <v>169.88</v>
      </c>
      <c r="E49" s="2"/>
      <c r="F49" s="6">
        <f t="shared" si="28"/>
        <v>1.0272777683376156E-2</v>
      </c>
      <c r="G49" s="2"/>
      <c r="H49" s="7">
        <v>170</v>
      </c>
      <c r="I49" s="2"/>
      <c r="J49" s="6">
        <f t="shared" si="29"/>
        <v>6.0931899641577065E-3</v>
      </c>
      <c r="K49" s="2"/>
      <c r="L49" s="7">
        <f t="shared" si="30"/>
        <v>-0.12000000000000455</v>
      </c>
      <c r="M49" s="2"/>
      <c r="N49" s="6">
        <f t="shared" si="31"/>
        <v>-7.0588235294120319E-4</v>
      </c>
      <c r="O49" s="11"/>
      <c r="P49" s="7">
        <v>509.64</v>
      </c>
      <c r="Q49" s="2"/>
      <c r="R49" s="6">
        <f t="shared" si="32"/>
        <v>6.7940604096006279E-3</v>
      </c>
      <c r="S49" s="2"/>
      <c r="T49" s="7">
        <v>510</v>
      </c>
      <c r="U49" s="2"/>
      <c r="V49" s="6">
        <f t="shared" si="33"/>
        <v>6.7729083665338643E-3</v>
      </c>
      <c r="W49" s="2"/>
      <c r="X49" s="7">
        <f t="shared" si="34"/>
        <v>-0.36000000000001364</v>
      </c>
      <c r="Y49" s="2"/>
      <c r="Z49" s="6">
        <f t="shared" si="35"/>
        <v>-7.0588235294120319E-4</v>
      </c>
    </row>
    <row r="50" spans="1:26" s="28" customFormat="1" outlineLevel="1" collapsed="1" x14ac:dyDescent="0.25">
      <c r="A50" s="27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SUM(OSRRefD22_4x_0)</f>
        <v>1205.6400000000001</v>
      </c>
      <c r="E50" s="1"/>
      <c r="F50" s="5">
        <f t="shared" si="28"/>
        <v>7.290600239101501E-2</v>
      </c>
      <c r="G50" s="1"/>
      <c r="H50" s="1">
        <f>SUM(OSRRefH22_4x_0)</f>
        <v>1300</v>
      </c>
      <c r="I50" s="1"/>
      <c r="J50" s="5">
        <f t="shared" si="29"/>
        <v>4.6594982078853049E-2</v>
      </c>
      <c r="K50" s="1"/>
      <c r="L50" s="1">
        <f t="shared" si="30"/>
        <v>-94.3599999999999</v>
      </c>
      <c r="M50" s="1"/>
      <c r="N50" s="5">
        <f t="shared" si="31"/>
        <v>-7.2584615384615303E-2</v>
      </c>
      <c r="O50" s="14"/>
      <c r="P50" s="1">
        <f>SUM(OSRRefP22_4x_0)</f>
        <v>3616.92</v>
      </c>
      <c r="Q50" s="1"/>
      <c r="R50" s="5">
        <f t="shared" si="32"/>
        <v>4.82175123159342E-2</v>
      </c>
      <c r="S50" s="1"/>
      <c r="T50" s="1">
        <f>SUM(OSRRefT22_4x_0)</f>
        <v>3700</v>
      </c>
      <c r="U50" s="1"/>
      <c r="V50" s="5">
        <f t="shared" si="33"/>
        <v>4.9136786188579015E-2</v>
      </c>
      <c r="W50" s="1"/>
      <c r="X50" s="1">
        <f t="shared" si="34"/>
        <v>-83.079999999999927</v>
      </c>
      <c r="Y50" s="1"/>
      <c r="Z50" s="5">
        <f t="shared" si="35"/>
        <v>-2.2454054054054033E-2</v>
      </c>
    </row>
    <row r="51" spans="1:26" s="24" customFormat="1" hidden="1" outlineLevel="2" x14ac:dyDescent="0.25">
      <c r="A51" s="29"/>
      <c r="B51" s="11" t="str">
        <f>CONCATENATE("          ", "6351", " - ", "EQUIPMENT RENTAL")</f>
        <v xml:space="preserve">          6351 - EQUIPMENT RENTAL</v>
      </c>
      <c r="C51" s="11"/>
      <c r="D51" s="7">
        <v>1205.6400000000001</v>
      </c>
      <c r="E51" s="2"/>
      <c r="F51" s="6">
        <f t="shared" si="28"/>
        <v>7.290600239101501E-2</v>
      </c>
      <c r="G51" s="2"/>
      <c r="H51" s="7">
        <v>1300</v>
      </c>
      <c r="I51" s="2"/>
      <c r="J51" s="6">
        <f t="shared" si="29"/>
        <v>4.6594982078853049E-2</v>
      </c>
      <c r="K51" s="2"/>
      <c r="L51" s="7">
        <f t="shared" si="30"/>
        <v>-94.3599999999999</v>
      </c>
      <c r="M51" s="2"/>
      <c r="N51" s="6">
        <f t="shared" si="31"/>
        <v>-7.2584615384615303E-2</v>
      </c>
      <c r="O51" s="11"/>
      <c r="P51" s="7">
        <v>3616.92</v>
      </c>
      <c r="Q51" s="2"/>
      <c r="R51" s="6">
        <f t="shared" si="32"/>
        <v>4.82175123159342E-2</v>
      </c>
      <c r="S51" s="2"/>
      <c r="T51" s="7">
        <v>3700</v>
      </c>
      <c r="U51" s="2"/>
      <c r="V51" s="6">
        <f t="shared" si="33"/>
        <v>4.9136786188579015E-2</v>
      </c>
      <c r="W51" s="2"/>
      <c r="X51" s="7">
        <f t="shared" si="34"/>
        <v>-83.079999999999927</v>
      </c>
      <c r="Y51" s="2"/>
      <c r="Z51" s="6">
        <f t="shared" si="35"/>
        <v>-2.2454054054054033E-2</v>
      </c>
    </row>
    <row r="52" spans="1:26" s="28" customFormat="1" outlineLevel="1" collapsed="1" x14ac:dyDescent="0.25">
      <c r="A52" s="27"/>
      <c r="B52" s="14" t="str">
        <f>CONCATENATE("     ","Freight out/Postage                               ")</f>
        <v xml:space="preserve">     Freight out/Postage                               </v>
      </c>
      <c r="C52" s="14"/>
      <c r="D52" s="1">
        <f>SUM(OSRRefD22_5x_0)</f>
        <v>3500.9700000000012</v>
      </c>
      <c r="E52" s="1"/>
      <c r="F52" s="5">
        <f t="shared" si="28"/>
        <v>0.21170641915569482</v>
      </c>
      <c r="G52" s="1"/>
      <c r="H52" s="1">
        <f>SUM(OSRRefH22_5x_0)</f>
        <v>-11100</v>
      </c>
      <c r="I52" s="1"/>
      <c r="J52" s="5">
        <f t="shared" si="29"/>
        <v>-0.39784946236559138</v>
      </c>
      <c r="K52" s="1"/>
      <c r="L52" s="1">
        <f t="shared" si="30"/>
        <v>14600.970000000001</v>
      </c>
      <c r="M52" s="1"/>
      <c r="N52" s="5">
        <f t="shared" si="31"/>
        <v>-1.3154027027027029</v>
      </c>
      <c r="O52" s="14"/>
      <c r="P52" s="1">
        <f>SUM(OSRRefP22_5x_0)</f>
        <v>-14403.119999999999</v>
      </c>
      <c r="Q52" s="1"/>
      <c r="R52" s="5">
        <f t="shared" si="32"/>
        <v>-0.19200939362437602</v>
      </c>
      <c r="S52" s="1"/>
      <c r="T52" s="1">
        <f>SUM(OSRRefT22_5x_0)</f>
        <v>-49300</v>
      </c>
      <c r="U52" s="1"/>
      <c r="V52" s="5">
        <f t="shared" si="33"/>
        <v>-0.65471447543160688</v>
      </c>
      <c r="W52" s="1"/>
      <c r="X52" s="1">
        <f t="shared" si="34"/>
        <v>34896.880000000005</v>
      </c>
      <c r="Y52" s="1"/>
      <c r="Z52" s="5">
        <f t="shared" si="35"/>
        <v>-0.7078474645030427</v>
      </c>
    </row>
    <row r="53" spans="1:26" s="24" customFormat="1" hidden="1" outlineLevel="2" x14ac:dyDescent="0.25">
      <c r="A53" s="29"/>
      <c r="B53" s="11" t="str">
        <f>CONCATENATE("          ", "6305", " - ", "FREIGHT OUT")</f>
        <v xml:space="preserve">          6305 - FREIGHT OUT</v>
      </c>
      <c r="C53" s="11"/>
      <c r="D53" s="7">
        <v>13197.43</v>
      </c>
      <c r="E53" s="2"/>
      <c r="F53" s="6">
        <f t="shared" si="28"/>
        <v>0.79805900860559809</v>
      </c>
      <c r="G53" s="2"/>
      <c r="H53" s="7">
        <v>500</v>
      </c>
      <c r="I53" s="2"/>
      <c r="J53" s="6">
        <f t="shared" si="29"/>
        <v>1.7921146953405017E-2</v>
      </c>
      <c r="K53" s="2"/>
      <c r="L53" s="7">
        <f t="shared" si="30"/>
        <v>12697.43</v>
      </c>
      <c r="M53" s="2"/>
      <c r="N53" s="6">
        <f t="shared" si="31"/>
        <v>25.394860000000001</v>
      </c>
      <c r="O53" s="11"/>
      <c r="P53" s="7">
        <v>27328.74</v>
      </c>
      <c r="Q53" s="2"/>
      <c r="R53" s="6">
        <f t="shared" si="32"/>
        <v>0.36432209104126262</v>
      </c>
      <c r="S53" s="2"/>
      <c r="T53" s="7">
        <v>16300</v>
      </c>
      <c r="U53" s="2"/>
      <c r="V53" s="6">
        <f t="shared" si="33"/>
        <v>0.21646746347941567</v>
      </c>
      <c r="W53" s="2"/>
      <c r="X53" s="7">
        <f t="shared" si="34"/>
        <v>11028.740000000002</v>
      </c>
      <c r="Y53" s="2"/>
      <c r="Z53" s="6">
        <f t="shared" si="35"/>
        <v>0.67660981595092029</v>
      </c>
    </row>
    <row r="54" spans="1:26" s="24" customFormat="1" hidden="1" outlineLevel="2" x14ac:dyDescent="0.25">
      <c r="A54" s="29"/>
      <c r="B54" s="11" t="str">
        <f>CONCATENATE("          ", "6307", " - ", "POSTAGE")</f>
        <v xml:space="preserve">          6307 - POSTAGE</v>
      </c>
      <c r="C54" s="11"/>
      <c r="D54" s="7">
        <v>-9696.4599999999991</v>
      </c>
      <c r="E54" s="2"/>
      <c r="F54" s="6">
        <f t="shared" si="28"/>
        <v>-0.58635258944990321</v>
      </c>
      <c r="G54" s="2"/>
      <c r="H54" s="7">
        <v>-11600</v>
      </c>
      <c r="I54" s="2"/>
      <c r="J54" s="6">
        <f t="shared" si="29"/>
        <v>-0.4157706093189964</v>
      </c>
      <c r="K54" s="2"/>
      <c r="L54" s="7">
        <f t="shared" si="30"/>
        <v>1903.5400000000009</v>
      </c>
      <c r="M54" s="2"/>
      <c r="N54" s="6">
        <f t="shared" si="31"/>
        <v>-0.16409827586206904</v>
      </c>
      <c r="O54" s="11"/>
      <c r="P54" s="7">
        <v>-41731.86</v>
      </c>
      <c r="Q54" s="2"/>
      <c r="R54" s="6">
        <f t="shared" si="32"/>
        <v>-0.55633148466563864</v>
      </c>
      <c r="S54" s="2"/>
      <c r="T54" s="7">
        <v>-65600</v>
      </c>
      <c r="U54" s="2"/>
      <c r="V54" s="6">
        <f t="shared" si="33"/>
        <v>-0.87118193891102258</v>
      </c>
      <c r="W54" s="2"/>
      <c r="X54" s="7">
        <f t="shared" si="34"/>
        <v>23868.14</v>
      </c>
      <c r="Y54" s="2"/>
      <c r="Z54" s="6">
        <f t="shared" si="35"/>
        <v>-0.36384359756097562</v>
      </c>
    </row>
    <row r="55" spans="1:26" s="28" customFormat="1" outlineLevel="1" collapsed="1" x14ac:dyDescent="0.25">
      <c r="A55" s="27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SUM(OSRRefD22_6x_0)</f>
        <v>91.31</v>
      </c>
      <c r="E55" s="1"/>
      <c r="F55" s="5">
        <f t="shared" ref="F55:F59" si="36">IF(D$12=0,0,D55/D$12)</f>
        <v>5.521587769420043E-3</v>
      </c>
      <c r="G55" s="1"/>
      <c r="H55" s="1">
        <f>SUM(OSRRefH22_6x_0)</f>
        <v>0</v>
      </c>
      <c r="I55" s="1"/>
      <c r="J55" s="5">
        <f t="shared" ref="J55:J59" si="37">IF(H$12=0,0,H55/H$12)</f>
        <v>0</v>
      </c>
      <c r="K55" s="1"/>
      <c r="L55" s="1">
        <f t="shared" ref="L55:L59" si="38">+D55-H55</f>
        <v>91.31</v>
      </c>
      <c r="M55" s="1"/>
      <c r="N55" s="5">
        <f t="shared" ref="N55:N59" si="39">IF(H55=0,0,L55/H55)</f>
        <v>0</v>
      </c>
      <c r="O55" s="14"/>
      <c r="P55" s="1">
        <f>SUM(OSRRefP22_6x_0)</f>
        <v>91.31</v>
      </c>
      <c r="Q55" s="1"/>
      <c r="R55" s="5">
        <f t="shared" ref="R55:R59" si="40">IF(P$12=0,0,P55/P$12)</f>
        <v>1.2172624911714806E-3</v>
      </c>
      <c r="S55" s="1"/>
      <c r="T55" s="1">
        <f>SUM(OSRRefT22_6x_0)</f>
        <v>0</v>
      </c>
      <c r="U55" s="1"/>
      <c r="V55" s="5">
        <f t="shared" ref="V55:V59" si="41">IF(T$12=0,0,T55/T$12)</f>
        <v>0</v>
      </c>
      <c r="W55" s="1"/>
      <c r="X55" s="1">
        <f t="shared" ref="X55:X59" si="42">+P55-T55</f>
        <v>91.31</v>
      </c>
      <c r="Y55" s="1"/>
      <c r="Z55" s="5">
        <f t="shared" ref="Z55:Z59" si="43">IF(T55=0,0,X55/T55)</f>
        <v>0</v>
      </c>
    </row>
    <row r="56" spans="1:26" s="24" customFormat="1" hidden="1" outlineLevel="2" x14ac:dyDescent="0.25">
      <c r="A56" s="29"/>
      <c r="B56" s="11" t="str">
        <f>CONCATENATE("          ", "6279", " - ", "GENERAL EXPENSE")</f>
        <v xml:space="preserve">          6279 - GENERAL EXPENSE</v>
      </c>
      <c r="C56" s="11"/>
      <c r="D56" s="7">
        <v>91.31</v>
      </c>
      <c r="E56" s="2"/>
      <c r="F56" s="6">
        <f t="shared" si="36"/>
        <v>5.521587769420043E-3</v>
      </c>
      <c r="G56" s="2"/>
      <c r="H56" s="7"/>
      <c r="I56" s="2"/>
      <c r="J56" s="6">
        <f t="shared" si="37"/>
        <v>0</v>
      </c>
      <c r="K56" s="2"/>
      <c r="L56" s="7">
        <f t="shared" si="38"/>
        <v>91.31</v>
      </c>
      <c r="M56" s="2"/>
      <c r="N56" s="6">
        <f t="shared" si="39"/>
        <v>0</v>
      </c>
      <c r="O56" s="11"/>
      <c r="P56" s="7">
        <v>91.31</v>
      </c>
      <c r="Q56" s="2"/>
      <c r="R56" s="6">
        <f t="shared" si="40"/>
        <v>1.2172624911714806E-3</v>
      </c>
      <c r="S56" s="2"/>
      <c r="T56" s="7"/>
      <c r="U56" s="2"/>
      <c r="V56" s="6">
        <f t="shared" si="41"/>
        <v>0</v>
      </c>
      <c r="W56" s="2"/>
      <c r="X56" s="7">
        <f t="shared" si="42"/>
        <v>91.31</v>
      </c>
      <c r="Y56" s="2"/>
      <c r="Z56" s="6">
        <f t="shared" si="43"/>
        <v>0</v>
      </c>
    </row>
    <row r="57" spans="1:26" s="28" customFormat="1" outlineLevel="1" collapsed="1" x14ac:dyDescent="0.25">
      <c r="A57" s="27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SUM(OSRRefD22_7x_0)</f>
        <v>0</v>
      </c>
      <c r="E57" s="1"/>
      <c r="F57" s="5">
        <f t="shared" si="36"/>
        <v>0</v>
      </c>
      <c r="G57" s="1"/>
      <c r="H57" s="1">
        <f>SUM(OSRRefH22_7x_0)</f>
        <v>8000</v>
      </c>
      <c r="I57" s="1"/>
      <c r="J57" s="5">
        <f t="shared" si="37"/>
        <v>0.28673835125448027</v>
      </c>
      <c r="K57" s="1"/>
      <c r="L57" s="1">
        <f t="shared" si="38"/>
        <v>-8000</v>
      </c>
      <c r="M57" s="1"/>
      <c r="N57" s="5">
        <f t="shared" si="39"/>
        <v>-1</v>
      </c>
      <c r="O57" s="14"/>
      <c r="P57" s="1">
        <f>SUM(OSRRefP22_7x_0)</f>
        <v>4077.52</v>
      </c>
      <c r="Q57" s="1"/>
      <c r="R57" s="5">
        <f t="shared" si="40"/>
        <v>5.4357815715710606E-2</v>
      </c>
      <c r="S57" s="1"/>
      <c r="T57" s="1">
        <f>SUM(OSRRefT22_7x_0)</f>
        <v>18000</v>
      </c>
      <c r="U57" s="1"/>
      <c r="V57" s="5">
        <f t="shared" si="41"/>
        <v>0.23904382470119523</v>
      </c>
      <c r="W57" s="1"/>
      <c r="X57" s="1">
        <f t="shared" si="42"/>
        <v>-13922.48</v>
      </c>
      <c r="Y57" s="1"/>
      <c r="Z57" s="5">
        <f t="shared" si="43"/>
        <v>-0.77347111111111111</v>
      </c>
    </row>
    <row r="58" spans="1:26" s="24" customFormat="1" hidden="1" outlineLevel="2" x14ac:dyDescent="0.25">
      <c r="A58" s="29"/>
      <c r="B58" s="11" t="str">
        <f>CONCATENATE("          ", "6373", " - ", "MAINTENANCE CONTRACTS")</f>
        <v xml:space="preserve">          6373 - MAINTENANCE CONTRACTS</v>
      </c>
      <c r="C58" s="11"/>
      <c r="D58" s="7"/>
      <c r="E58" s="2"/>
      <c r="F58" s="6">
        <f t="shared" si="36"/>
        <v>0</v>
      </c>
      <c r="G58" s="2"/>
      <c r="H58" s="7">
        <v>8000</v>
      </c>
      <c r="I58" s="2"/>
      <c r="J58" s="6">
        <f t="shared" si="37"/>
        <v>0.28673835125448027</v>
      </c>
      <c r="K58" s="2"/>
      <c r="L58" s="7">
        <f t="shared" si="38"/>
        <v>-8000</v>
      </c>
      <c r="M58" s="2"/>
      <c r="N58" s="6">
        <f t="shared" si="39"/>
        <v>-1</v>
      </c>
      <c r="O58" s="11"/>
      <c r="P58" s="7">
        <v>681.08</v>
      </c>
      <c r="Q58" s="2"/>
      <c r="R58" s="6">
        <f t="shared" si="40"/>
        <v>9.079543724532603E-3</v>
      </c>
      <c r="S58" s="2"/>
      <c r="T58" s="7">
        <v>18000</v>
      </c>
      <c r="U58" s="2"/>
      <c r="V58" s="6">
        <f t="shared" si="41"/>
        <v>0.23904382470119523</v>
      </c>
      <c r="W58" s="2"/>
      <c r="X58" s="7">
        <f t="shared" si="42"/>
        <v>-17318.919999999998</v>
      </c>
      <c r="Y58" s="2"/>
      <c r="Z58" s="6">
        <f t="shared" si="43"/>
        <v>-0.96216222222222214</v>
      </c>
    </row>
    <row r="59" spans="1:26" s="24" customFormat="1" hidden="1" outlineLevel="2" x14ac:dyDescent="0.25">
      <c r="A59" s="29"/>
      <c r="B59" s="11" t="str">
        <f>CONCATENATE("          ", "6375", " - ", "OUTSIDE REPAIRS &amp; MAINTENANCE")</f>
        <v xml:space="preserve">          6375 - OUTSIDE REPAIRS &amp; MAINTENANCE</v>
      </c>
      <c r="C59" s="11"/>
      <c r="D59" s="7"/>
      <c r="E59" s="2"/>
      <c r="F59" s="6">
        <f t="shared" si="36"/>
        <v>0</v>
      </c>
      <c r="G59" s="2"/>
      <c r="H59" s="7"/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>
        <v>3396.44</v>
      </c>
      <c r="Q59" s="2"/>
      <c r="R59" s="6">
        <f t="shared" si="40"/>
        <v>4.5278271991178003E-2</v>
      </c>
      <c r="S59" s="2"/>
      <c r="T59" s="7"/>
      <c r="U59" s="2"/>
      <c r="V59" s="6">
        <f t="shared" si="41"/>
        <v>0</v>
      </c>
      <c r="W59" s="2"/>
      <c r="X59" s="7">
        <f t="shared" si="42"/>
        <v>3396.44</v>
      </c>
      <c r="Y59" s="2"/>
      <c r="Z59" s="6">
        <f t="shared" si="43"/>
        <v>0</v>
      </c>
    </row>
    <row r="60" spans="1:26" s="28" customFormat="1" outlineLevel="1" collapsed="1" x14ac:dyDescent="0.25">
      <c r="A60" s="27"/>
      <c r="B60" s="14" t="str">
        <f>CONCATENATE("     ","Royalty &amp; Commissions                             ")</f>
        <v xml:space="preserve">     Royalty &amp; Commissions                             </v>
      </c>
      <c r="C60" s="14"/>
      <c r="D60" s="1">
        <f>SUM(OSRRefD22_8x_0)</f>
        <v>1174.22</v>
      </c>
      <c r="E60" s="1"/>
      <c r="F60" s="5">
        <f t="shared" ref="F60:F66" si="44">IF(D$12=0,0,D60/D$12)</f>
        <v>7.1006010191746821E-2</v>
      </c>
      <c r="G60" s="1"/>
      <c r="H60" s="1">
        <f>SUM(OSRRefH22_8x_0)</f>
        <v>500</v>
      </c>
      <c r="I60" s="1"/>
      <c r="J60" s="5">
        <f t="shared" ref="J60:J66" si="45">IF(H$12=0,0,H60/H$12)</f>
        <v>1.7921146953405017E-2</v>
      </c>
      <c r="K60" s="1"/>
      <c r="L60" s="1">
        <f t="shared" ref="L60:L66" si="46">+D60-H60</f>
        <v>674.22</v>
      </c>
      <c r="M60" s="1"/>
      <c r="N60" s="5">
        <f t="shared" ref="N60:N66" si="47">IF(H60=0,0,L60/H60)</f>
        <v>1.3484400000000001</v>
      </c>
      <c r="O60" s="14"/>
      <c r="P60" s="1">
        <f>SUM(OSRRefP22_8x_0)</f>
        <v>1782.17</v>
      </c>
      <c r="Q60" s="1"/>
      <c r="R60" s="5">
        <f t="shared" ref="R60:R66" si="48">IF(P$12=0,0,P60/P$12)</f>
        <v>2.3758281610897793E-2</v>
      </c>
      <c r="S60" s="1"/>
      <c r="T60" s="1">
        <f>SUM(OSRRefT22_8x_0)</f>
        <v>9500</v>
      </c>
      <c r="U60" s="1"/>
      <c r="V60" s="5">
        <f t="shared" ref="V60:V66" si="49">IF(T$12=0,0,T60/T$12)</f>
        <v>0.12616201859229748</v>
      </c>
      <c r="W60" s="1"/>
      <c r="X60" s="1">
        <f t="shared" ref="X60:X66" si="50">+P60-T60</f>
        <v>-7717.83</v>
      </c>
      <c r="Y60" s="1"/>
      <c r="Z60" s="5">
        <f t="shared" ref="Z60:Z66" si="51">IF(T60=0,0,X60/T60)</f>
        <v>-0.81240315789473683</v>
      </c>
    </row>
    <row r="61" spans="1:26" s="24" customFormat="1" hidden="1" outlineLevel="2" x14ac:dyDescent="0.25">
      <c r="A61" s="29"/>
      <c r="B61" s="11" t="str">
        <f>CONCATENATE("          ", "6259", " - ", "ROYALTY &amp; COMMISSIONS")</f>
        <v xml:space="preserve">          6259 - ROYALTY &amp; COMMISSIONS</v>
      </c>
      <c r="C61" s="11"/>
      <c r="D61" s="7">
        <v>1174.22</v>
      </c>
      <c r="E61" s="2"/>
      <c r="F61" s="6">
        <f t="shared" si="44"/>
        <v>7.1006010191746821E-2</v>
      </c>
      <c r="G61" s="2"/>
      <c r="H61" s="7">
        <v>500</v>
      </c>
      <c r="I61" s="2"/>
      <c r="J61" s="6">
        <f t="shared" si="45"/>
        <v>1.7921146953405017E-2</v>
      </c>
      <c r="K61" s="2"/>
      <c r="L61" s="7">
        <f t="shared" si="46"/>
        <v>674.22</v>
      </c>
      <c r="M61" s="2"/>
      <c r="N61" s="6">
        <f t="shared" si="47"/>
        <v>1.3484400000000001</v>
      </c>
      <c r="O61" s="11"/>
      <c r="P61" s="7">
        <v>1782.17</v>
      </c>
      <c r="Q61" s="2"/>
      <c r="R61" s="6">
        <f t="shared" si="48"/>
        <v>2.3758281610897793E-2</v>
      </c>
      <c r="S61" s="2"/>
      <c r="T61" s="7">
        <v>9500</v>
      </c>
      <c r="U61" s="2"/>
      <c r="V61" s="6">
        <f t="shared" si="49"/>
        <v>0.12616201859229748</v>
      </c>
      <c r="W61" s="2"/>
      <c r="X61" s="7">
        <f t="shared" si="50"/>
        <v>-7717.83</v>
      </c>
      <c r="Y61" s="2"/>
      <c r="Z61" s="6">
        <f t="shared" si="51"/>
        <v>-0.81240315789473683</v>
      </c>
    </row>
    <row r="62" spans="1:26" s="28" customFormat="1" outlineLevel="1" collapsed="1" x14ac:dyDescent="0.25">
      <c r="A62" s="27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SUM(OSRRefD22_9x_0)</f>
        <v>2879.46</v>
      </c>
      <c r="E62" s="1"/>
      <c r="F62" s="5">
        <f t="shared" si="44"/>
        <v>0.17412321890849017</v>
      </c>
      <c r="G62" s="1"/>
      <c r="H62" s="1">
        <f>SUM(OSRRefH22_9x_0)</f>
        <v>9200</v>
      </c>
      <c r="I62" s="1"/>
      <c r="J62" s="5">
        <f t="shared" si="45"/>
        <v>0.32974910394265233</v>
      </c>
      <c r="K62" s="1"/>
      <c r="L62" s="1">
        <f t="shared" si="46"/>
        <v>-6320.54</v>
      </c>
      <c r="M62" s="1"/>
      <c r="N62" s="5">
        <f t="shared" si="47"/>
        <v>-0.68701521739130433</v>
      </c>
      <c r="O62" s="14"/>
      <c r="P62" s="1">
        <f>SUM(OSRRefP22_9x_0)</f>
        <v>13039.11</v>
      </c>
      <c r="Q62" s="1"/>
      <c r="R62" s="5">
        <f t="shared" si="48"/>
        <v>0.17382564364537251</v>
      </c>
      <c r="S62" s="1"/>
      <c r="T62" s="1">
        <f>SUM(OSRRefT22_9x_0)</f>
        <v>14560</v>
      </c>
      <c r="U62" s="1"/>
      <c r="V62" s="5">
        <f t="shared" si="49"/>
        <v>0.19335989375830012</v>
      </c>
      <c r="W62" s="1"/>
      <c r="X62" s="1">
        <f t="shared" si="50"/>
        <v>-1520.8899999999994</v>
      </c>
      <c r="Y62" s="1"/>
      <c r="Z62" s="5">
        <f t="shared" si="51"/>
        <v>-0.10445673076923073</v>
      </c>
    </row>
    <row r="63" spans="1:26" s="24" customFormat="1" hidden="1" outlineLevel="2" x14ac:dyDescent="0.25">
      <c r="A63" s="29"/>
      <c r="B63" s="11" t="str">
        <f>CONCATENATE("          ", "6241", " - ", "OFFICE EXPENSE")</f>
        <v xml:space="preserve">          6241 - OFFICE EXPENSE</v>
      </c>
      <c r="C63" s="11"/>
      <c r="D63" s="7">
        <v>2.19</v>
      </c>
      <c r="E63" s="2"/>
      <c r="F63" s="6">
        <f t="shared" si="44"/>
        <v>1.3243102852951368E-4</v>
      </c>
      <c r="G63" s="2"/>
      <c r="H63" s="7"/>
      <c r="I63" s="2"/>
      <c r="J63" s="6">
        <f t="shared" si="45"/>
        <v>0</v>
      </c>
      <c r="K63" s="2"/>
      <c r="L63" s="7">
        <f t="shared" si="46"/>
        <v>2.19</v>
      </c>
      <c r="M63" s="2"/>
      <c r="N63" s="6">
        <f t="shared" si="47"/>
        <v>0</v>
      </c>
      <c r="O63" s="11"/>
      <c r="P63" s="7">
        <v>4831.75</v>
      </c>
      <c r="Q63" s="2"/>
      <c r="R63" s="6">
        <f t="shared" si="48"/>
        <v>6.4412529205101321E-2</v>
      </c>
      <c r="S63" s="2"/>
      <c r="T63" s="7"/>
      <c r="U63" s="2"/>
      <c r="V63" s="6">
        <f t="shared" si="49"/>
        <v>0</v>
      </c>
      <c r="W63" s="2"/>
      <c r="X63" s="7">
        <f t="shared" si="50"/>
        <v>4831.75</v>
      </c>
      <c r="Y63" s="2"/>
      <c r="Z63" s="6">
        <f t="shared" si="51"/>
        <v>0</v>
      </c>
    </row>
    <row r="64" spans="1:26" s="24" customFormat="1" hidden="1" outlineLevel="2" x14ac:dyDescent="0.25">
      <c r="A64" s="29"/>
      <c r="B64" s="11" t="str">
        <f>CONCATENATE("          ", "6243", " - ", "PAPER SUPPLIES")</f>
        <v xml:space="preserve">          6243 - PAPER SUPPLIES</v>
      </c>
      <c r="C64" s="11"/>
      <c r="D64" s="7"/>
      <c r="E64" s="2"/>
      <c r="F64" s="6">
        <f t="shared" si="44"/>
        <v>0</v>
      </c>
      <c r="G64" s="2"/>
      <c r="H64" s="7">
        <v>7500</v>
      </c>
      <c r="I64" s="2"/>
      <c r="J64" s="6">
        <f t="shared" si="45"/>
        <v>0.26881720430107525</v>
      </c>
      <c r="K64" s="2"/>
      <c r="L64" s="7">
        <f t="shared" si="46"/>
        <v>-7500</v>
      </c>
      <c r="M64" s="2"/>
      <c r="N64" s="6">
        <f t="shared" si="47"/>
        <v>-1</v>
      </c>
      <c r="O64" s="11"/>
      <c r="P64" s="7">
        <v>3450.92</v>
      </c>
      <c r="Q64" s="2"/>
      <c r="R64" s="6">
        <f t="shared" si="48"/>
        <v>4.6004550170118126E-2</v>
      </c>
      <c r="S64" s="2"/>
      <c r="T64" s="7">
        <v>12600</v>
      </c>
      <c r="U64" s="2"/>
      <c r="V64" s="6">
        <f t="shared" si="49"/>
        <v>0.16733067729083664</v>
      </c>
      <c r="W64" s="2"/>
      <c r="X64" s="7">
        <f t="shared" si="50"/>
        <v>-9149.08</v>
      </c>
      <c r="Y64" s="2"/>
      <c r="Z64" s="6">
        <f t="shared" si="51"/>
        <v>-0.72611746031746027</v>
      </c>
    </row>
    <row r="65" spans="1:26" s="24" customFormat="1" hidden="1" outlineLevel="2" x14ac:dyDescent="0.25">
      <c r="A65" s="29"/>
      <c r="B65" s="11" t="str">
        <f>CONCATENATE("          ", "6245", " - ", "PRINTING")</f>
        <v xml:space="preserve">          6245 - PRINTING</v>
      </c>
      <c r="C65" s="11"/>
      <c r="D65" s="7">
        <v>276.43</v>
      </c>
      <c r="E65" s="2"/>
      <c r="F65" s="6">
        <f t="shared" si="44"/>
        <v>1.6715940281467338E-2</v>
      </c>
      <c r="G65" s="2"/>
      <c r="H65" s="7">
        <v>1600</v>
      </c>
      <c r="I65" s="2"/>
      <c r="J65" s="6">
        <f t="shared" si="45"/>
        <v>5.7347670250896057E-2</v>
      </c>
      <c r="K65" s="2"/>
      <c r="L65" s="7">
        <f t="shared" si="46"/>
        <v>-1323.57</v>
      </c>
      <c r="M65" s="2"/>
      <c r="N65" s="6">
        <f t="shared" si="47"/>
        <v>-0.82723124999999997</v>
      </c>
      <c r="O65" s="11"/>
      <c r="P65" s="7">
        <v>-659.07</v>
      </c>
      <c r="Q65" s="2"/>
      <c r="R65" s="6">
        <f t="shared" si="48"/>
        <v>-8.7861262737530151E-3</v>
      </c>
      <c r="S65" s="2"/>
      <c r="T65" s="7">
        <v>1655</v>
      </c>
      <c r="U65" s="2"/>
      <c r="V65" s="6">
        <f t="shared" si="49"/>
        <v>2.1978751660026559E-2</v>
      </c>
      <c r="W65" s="2"/>
      <c r="X65" s="7">
        <f t="shared" si="50"/>
        <v>-2314.0700000000002</v>
      </c>
      <c r="Y65" s="2"/>
      <c r="Z65" s="6">
        <f t="shared" si="51"/>
        <v>-1.3982296072507554</v>
      </c>
    </row>
    <row r="66" spans="1:26" s="24" customFormat="1" hidden="1" outlineLevel="2" x14ac:dyDescent="0.25">
      <c r="A66" s="29"/>
      <c r="B66" s="11" t="str">
        <f>CONCATENATE("          ", "6247", " - ", "STORE SUPPLIES")</f>
        <v xml:space="preserve">          6247 - STORE SUPPLIES</v>
      </c>
      <c r="C66" s="11"/>
      <c r="D66" s="7">
        <v>2600.84</v>
      </c>
      <c r="E66" s="2"/>
      <c r="F66" s="6">
        <f t="shared" si="44"/>
        <v>0.15727484759849333</v>
      </c>
      <c r="G66" s="2"/>
      <c r="H66" s="7">
        <v>100</v>
      </c>
      <c r="I66" s="2"/>
      <c r="J66" s="6">
        <f t="shared" si="45"/>
        <v>3.5842293906810036E-3</v>
      </c>
      <c r="K66" s="2"/>
      <c r="L66" s="7">
        <f t="shared" si="46"/>
        <v>2500.84</v>
      </c>
      <c r="M66" s="2"/>
      <c r="N66" s="6">
        <f t="shared" si="47"/>
        <v>25.008400000000002</v>
      </c>
      <c r="O66" s="11"/>
      <c r="P66" s="7">
        <v>5415.51</v>
      </c>
      <c r="Q66" s="2"/>
      <c r="R66" s="6">
        <f t="shared" si="48"/>
        <v>7.2194690543906093E-2</v>
      </c>
      <c r="S66" s="2"/>
      <c r="T66" s="7">
        <v>305</v>
      </c>
      <c r="U66" s="2"/>
      <c r="V66" s="6">
        <f t="shared" si="49"/>
        <v>4.0504648074369187E-3</v>
      </c>
      <c r="W66" s="2"/>
      <c r="X66" s="7">
        <f t="shared" si="50"/>
        <v>5110.51</v>
      </c>
      <c r="Y66" s="2"/>
      <c r="Z66" s="6">
        <f t="shared" si="51"/>
        <v>16.755770491803279</v>
      </c>
    </row>
    <row r="67" spans="1:26" s="28" customFormat="1" outlineLevel="1" collapsed="1" x14ac:dyDescent="0.25">
      <c r="A67" s="27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SUM(OSRRefD22_10x_0)</f>
        <v>159.4</v>
      </c>
      <c r="E67" s="1"/>
      <c r="F67" s="5">
        <f t="shared" ref="F67:F68" si="52">IF(D$12=0,0,D67/D$12)</f>
        <v>9.6390438116915438E-3</v>
      </c>
      <c r="G67" s="1"/>
      <c r="H67" s="1">
        <f>SUM(OSRRefH22_10x_0)</f>
        <v>175</v>
      </c>
      <c r="I67" s="1"/>
      <c r="J67" s="5">
        <f t="shared" ref="J67:J68" si="53">IF(H$12=0,0,H67/H$12)</f>
        <v>6.2724014336917565E-3</v>
      </c>
      <c r="K67" s="1"/>
      <c r="L67" s="1">
        <f t="shared" ref="L67:L68" si="54">+D67-H67</f>
        <v>-15.599999999999994</v>
      </c>
      <c r="M67" s="1"/>
      <c r="N67" s="5">
        <f t="shared" ref="N67:N68" si="55">IF(H67=0,0,L67/H67)</f>
        <v>-8.9142857142857107E-2</v>
      </c>
      <c r="O67" s="14"/>
      <c r="P67" s="1">
        <f>SUM(OSRRefP22_10x_0)</f>
        <v>486.7</v>
      </c>
      <c r="Q67" s="1"/>
      <c r="R67" s="5">
        <f t="shared" ref="R67:R68" si="56">IF(P$12=0,0,P67/P$12)</f>
        <v>6.4882450383655635E-3</v>
      </c>
      <c r="S67" s="1"/>
      <c r="T67" s="1">
        <f>SUM(OSRRefT22_10x_0)</f>
        <v>525</v>
      </c>
      <c r="U67" s="1"/>
      <c r="V67" s="5">
        <f t="shared" ref="V67:V68" si="57">IF(T$12=0,0,T67/T$12)</f>
        <v>6.9721115537848604E-3</v>
      </c>
      <c r="W67" s="1"/>
      <c r="X67" s="1">
        <f t="shared" ref="X67:X68" si="58">+P67-T67</f>
        <v>-38.300000000000011</v>
      </c>
      <c r="Y67" s="1"/>
      <c r="Z67" s="5">
        <f t="shared" ref="Z67:Z68" si="59">IF(T67=0,0,X67/T67)</f>
        <v>-7.2952380952380977E-2</v>
      </c>
    </row>
    <row r="68" spans="1:26" s="24" customFormat="1" hidden="1" outlineLevel="2" x14ac:dyDescent="0.25">
      <c r="A68" s="29"/>
      <c r="B68" s="11" t="str">
        <f>CONCATENATE("          ", "6309", " - ", "TELEPHONE")</f>
        <v xml:space="preserve">          6309 - TELEPHONE</v>
      </c>
      <c r="C68" s="11"/>
      <c r="D68" s="7">
        <v>159.4</v>
      </c>
      <c r="E68" s="2"/>
      <c r="F68" s="6">
        <f t="shared" si="52"/>
        <v>9.6390438116915438E-3</v>
      </c>
      <c r="G68" s="2"/>
      <c r="H68" s="7">
        <v>175</v>
      </c>
      <c r="I68" s="2"/>
      <c r="J68" s="6">
        <f t="shared" si="53"/>
        <v>6.2724014336917565E-3</v>
      </c>
      <c r="K68" s="2"/>
      <c r="L68" s="7">
        <f t="shared" si="54"/>
        <v>-15.599999999999994</v>
      </c>
      <c r="M68" s="2"/>
      <c r="N68" s="6">
        <f t="shared" si="55"/>
        <v>-8.9142857142857107E-2</v>
      </c>
      <c r="O68" s="11"/>
      <c r="P68" s="7">
        <v>486.7</v>
      </c>
      <c r="Q68" s="2"/>
      <c r="R68" s="6">
        <f t="shared" si="56"/>
        <v>6.4882450383655635E-3</v>
      </c>
      <c r="S68" s="2"/>
      <c r="T68" s="7">
        <v>525</v>
      </c>
      <c r="U68" s="2"/>
      <c r="V68" s="6">
        <f t="shared" si="57"/>
        <v>6.9721115537848604E-3</v>
      </c>
      <c r="W68" s="2"/>
      <c r="X68" s="7">
        <f t="shared" si="58"/>
        <v>-38.300000000000011</v>
      </c>
      <c r="Y68" s="2"/>
      <c r="Z68" s="6">
        <f t="shared" si="59"/>
        <v>-7.2952380952380977E-2</v>
      </c>
    </row>
    <row r="69" spans="1:26" s="58" customFormat="1" x14ac:dyDescent="0.25">
      <c r="A69" s="36"/>
      <c r="B69" s="36"/>
      <c r="C69" s="36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6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collapsed="1" x14ac:dyDescent="0.25">
      <c r="A70" s="10"/>
      <c r="B70" s="26" t="s">
        <v>293</v>
      </c>
      <c r="C70" s="10"/>
      <c r="D70" s="4">
        <f>SUM(OSRRefD25x_0)</f>
        <v>14899</v>
      </c>
      <c r="E70" s="4"/>
      <c r="F70" s="12">
        <f t="shared" ref="F70:F71" si="60">IF(D$12=0,0,D70/D$12)</f>
        <v>0.90095428952567314</v>
      </c>
      <c r="G70" s="4"/>
      <c r="H70" s="4">
        <f>SUM(OSRRefH25x_0)</f>
        <v>6782</v>
      </c>
      <c r="I70" s="4"/>
      <c r="J70" s="12">
        <f t="shared" ref="J70:J71" si="61">IF(H$12=0,0,H70/H$12)</f>
        <v>0.24308243727598566</v>
      </c>
      <c r="K70" s="4"/>
      <c r="L70" s="4">
        <f t="shared" ref="L70:L71" si="62">+D70-H70</f>
        <v>8117</v>
      </c>
      <c r="M70" s="4"/>
      <c r="N70" s="12">
        <f t="shared" ref="N70:N71" si="63">IF(H70=0,0,L70/H70)</f>
        <v>1.1968445886169272</v>
      </c>
      <c r="O70" s="10"/>
      <c r="P70" s="4">
        <f>SUM(OSRRefP25x_0)</f>
        <v>14899</v>
      </c>
      <c r="Q70" s="4"/>
      <c r="R70" s="12">
        <f t="shared" ref="R70:R71" si="64">IF(P$12=0,0,P70/P$12)</f>
        <v>0.19862001813562469</v>
      </c>
      <c r="S70" s="4"/>
      <c r="T70" s="4">
        <f>SUM(OSRRefT25x_0)</f>
        <v>20346</v>
      </c>
      <c r="U70" s="4"/>
      <c r="V70" s="12">
        <f t="shared" ref="V70:V71" si="65">IF(T$12=0,0,T70/T$12)</f>
        <v>0.27019920318725099</v>
      </c>
      <c r="W70" s="4"/>
      <c r="X70" s="4">
        <f t="shared" ref="X70:X71" si="66">+P70-T70</f>
        <v>-5447</v>
      </c>
      <c r="Y70" s="4"/>
      <c r="Z70" s="12">
        <f t="shared" ref="Z70:Z71" si="67">IF(T70=0,0,X70/T70)</f>
        <v>-0.26771847046102426</v>
      </c>
    </row>
    <row r="71" spans="1:26" s="24" customFormat="1" hidden="1" outlineLevel="1" x14ac:dyDescent="0.25">
      <c r="A71" s="44"/>
      <c r="B71" s="11" t="str">
        <f>CONCATENATE("          ", "9150", " - ", "MISC. INCOME")</f>
        <v xml:space="preserve">          9150 - MISC. INCOME</v>
      </c>
      <c r="C71" s="11"/>
      <c r="D71" s="2">
        <f>--14899</f>
        <v>14899</v>
      </c>
      <c r="E71" s="2"/>
      <c r="F71" s="19">
        <f t="shared" si="60"/>
        <v>0.90095428952567314</v>
      </c>
      <c r="G71" s="2"/>
      <c r="H71" s="2">
        <v>6782</v>
      </c>
      <c r="I71" s="2"/>
      <c r="J71" s="19">
        <f t="shared" si="61"/>
        <v>0.24308243727598566</v>
      </c>
      <c r="K71" s="2"/>
      <c r="L71" s="2">
        <f t="shared" si="62"/>
        <v>8117</v>
      </c>
      <c r="M71" s="2"/>
      <c r="N71" s="19">
        <f t="shared" si="63"/>
        <v>1.1968445886169272</v>
      </c>
      <c r="O71" s="11"/>
      <c r="P71" s="2">
        <f>--14899</f>
        <v>14899</v>
      </c>
      <c r="Q71" s="2"/>
      <c r="R71" s="19">
        <f t="shared" si="64"/>
        <v>0.19862001813562469</v>
      </c>
      <c r="S71" s="2"/>
      <c r="T71" s="2">
        <v>20346</v>
      </c>
      <c r="U71" s="2"/>
      <c r="V71" s="19">
        <f t="shared" si="65"/>
        <v>0.27019920318725099</v>
      </c>
      <c r="W71" s="2"/>
      <c r="X71" s="2">
        <f t="shared" si="66"/>
        <v>-5447</v>
      </c>
      <c r="Y71" s="2"/>
      <c r="Z71" s="19">
        <f t="shared" si="67"/>
        <v>-0.26771847046102426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5" t="s">
        <v>277</v>
      </c>
      <c r="C73" s="25"/>
      <c r="D73" s="21">
        <f>+D22-D24+D70</f>
        <v>-3127.9000000000051</v>
      </c>
      <c r="E73" s="13"/>
      <c r="F73" s="20">
        <f>IF(D$12=0,0,D73/D$12)</f>
        <v>-0.18914658179792992</v>
      </c>
      <c r="G73" s="13"/>
      <c r="H73" s="21">
        <f>+H22-H24+H70</f>
        <v>7250.9977380769342</v>
      </c>
      <c r="I73" s="13"/>
      <c r="J73" s="20">
        <f>IF(H$12=0,0,H73/H$12)</f>
        <v>0.25989239204576825</v>
      </c>
      <c r="K73" s="16"/>
      <c r="L73" s="21">
        <f>+D73-H73</f>
        <v>-10378.897738076939</v>
      </c>
      <c r="M73" s="16"/>
      <c r="N73" s="20">
        <f>IF(H73=0,0,L73/H73)</f>
        <v>-1.4313751173268974</v>
      </c>
      <c r="O73" s="26"/>
      <c r="P73" s="21">
        <f>+P22-P24+P70</f>
        <v>-149.51999999997497</v>
      </c>
      <c r="Q73" s="13"/>
      <c r="R73" s="20">
        <f>IF(P$12=0,0,P73/P$12)</f>
        <v>-1.9932656629058076E-3</v>
      </c>
      <c r="S73" s="13"/>
      <c r="T73" s="21">
        <f>+T22-T24+T70</f>
        <v>25307.084178557634</v>
      </c>
      <c r="U73" s="13"/>
      <c r="V73" s="20">
        <f>IF(T$12=0,0,T73/T$12)</f>
        <v>0.33608345522652899</v>
      </c>
      <c r="W73" s="16"/>
      <c r="X73" s="21">
        <f>+P73-T73</f>
        <v>-25456.604178557609</v>
      </c>
      <c r="Y73" s="16"/>
      <c r="Z73" s="20">
        <f>IF(T73=0,0,X73/T73)</f>
        <v>-1.0059082270776443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2"/>
      <c r="B75" s="10" t="s">
        <v>128</v>
      </c>
      <c r="C75" s="10"/>
      <c r="D75" s="4">
        <v>546.53</v>
      </c>
      <c r="E75" s="4"/>
      <c r="F75" s="12">
        <f>IF(D$12=0,0,D75/D$12)</f>
        <v>3.304910046677402E-2</v>
      </c>
      <c r="G75" s="4"/>
      <c r="H75" s="4">
        <v>2868</v>
      </c>
      <c r="I75" s="4"/>
      <c r="J75" s="12">
        <f>IF(H$12=0,0,H75/H$12)</f>
        <v>0.10279569892473119</v>
      </c>
      <c r="K75" s="4"/>
      <c r="L75" s="4">
        <f>+D75-H75</f>
        <v>-2321.4700000000003</v>
      </c>
      <c r="M75" s="4"/>
      <c r="N75" s="12">
        <f>IF(H75=0,0,L75/H75)</f>
        <v>-0.80943863319386344</v>
      </c>
      <c r="O75" s="10"/>
      <c r="P75" s="4">
        <v>9284.73</v>
      </c>
      <c r="Q75" s="4"/>
      <c r="R75" s="12">
        <f>IF(P$12=0,0,P75/P$12)</f>
        <v>0.12377563869953544</v>
      </c>
      <c r="S75" s="4"/>
      <c r="T75" s="4">
        <v>8177</v>
      </c>
      <c r="U75" s="4"/>
      <c r="V75" s="12">
        <f>IF(T$12=0,0,T75/T$12)</f>
        <v>0.10859229747675962</v>
      </c>
      <c r="W75" s="4"/>
      <c r="X75" s="4">
        <f>+P75-T75</f>
        <v>1107.7299999999996</v>
      </c>
      <c r="Y75" s="4"/>
      <c r="Z75" s="12">
        <f>IF(T75=0,0,X75/T75)</f>
        <v>0.13546899841017482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5" t="s">
        <v>126</v>
      </c>
      <c r="C77" s="25"/>
      <c r="D77" s="33">
        <f>+D73-D75</f>
        <v>-3674.4300000000048</v>
      </c>
      <c r="E77" s="13"/>
      <c r="F77" s="31">
        <f>IF(D$12=0,0,D77/D$12)</f>
        <v>-0.22219568226470393</v>
      </c>
      <c r="G77" s="13"/>
      <c r="H77" s="33">
        <f>+H73-H75</f>
        <v>4382.9977380769342</v>
      </c>
      <c r="I77" s="13"/>
      <c r="J77" s="31">
        <f>IF(H$12=0,0,H77/H$12)</f>
        <v>0.15709669312103708</v>
      </c>
      <c r="K77" s="16"/>
      <c r="L77" s="33">
        <f>D77-H77</f>
        <v>-8057.427738076939</v>
      </c>
      <c r="M77" s="16"/>
      <c r="N77" s="31">
        <f>IF(H77=0,0,L77/H77)</f>
        <v>-1.8383371882852448</v>
      </c>
      <c r="O77" s="26"/>
      <c r="P77" s="33">
        <f>+P73-P75</f>
        <v>-9434.2499999999745</v>
      </c>
      <c r="Q77" s="13"/>
      <c r="R77" s="31">
        <f>IF(P$12=0,0,P77/P$12)</f>
        <v>-0.12576890436244123</v>
      </c>
      <c r="S77" s="13"/>
      <c r="T77" s="33">
        <f>+T73-T75</f>
        <v>17130.084178557634</v>
      </c>
      <c r="U77" s="13"/>
      <c r="V77" s="31">
        <f>IF(T$12=0,0,T77/T$12)</f>
        <v>0.22749115774976938</v>
      </c>
      <c r="W77" s="16"/>
      <c r="X77" s="33">
        <f>P77-T77</f>
        <v>-26564.334178557609</v>
      </c>
      <c r="Y77" s="16"/>
      <c r="Z77" s="31">
        <f>IF(T77=0,0,X77/T77)</f>
        <v>-1.5507416018310742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5" t="s">
        <v>294</v>
      </c>
      <c r="C80" s="25"/>
      <c r="D80" s="35">
        <f>SUM(D77:D79)</f>
        <v>-3674.4300000000048</v>
      </c>
      <c r="E80" s="13"/>
      <c r="F80" s="34">
        <f>IF(D$12=0,0,D80/D$12)</f>
        <v>-0.22219568226470393</v>
      </c>
      <c r="G80" s="13"/>
      <c r="H80" s="35">
        <f>SUM(H77:H79)</f>
        <v>4382.9977380769342</v>
      </c>
      <c r="I80" s="13"/>
      <c r="J80" s="34">
        <f>IF(H$12=0,0,H80/H$12)</f>
        <v>0.15709669312103708</v>
      </c>
      <c r="K80" s="16"/>
      <c r="L80" s="35">
        <f>+D80-H80</f>
        <v>-8057.427738076939</v>
      </c>
      <c r="M80" s="16"/>
      <c r="N80" s="34">
        <f>IF(H80=0,0,L80/H80)</f>
        <v>-1.8383371882852448</v>
      </c>
      <c r="O80" s="26"/>
      <c r="P80" s="35">
        <f>SUM(P77:P79)</f>
        <v>-9434.2499999999745</v>
      </c>
      <c r="Q80" s="13"/>
      <c r="R80" s="34">
        <f>IF(P$12=0,0,P80/P$12)</f>
        <v>-0.12576890436244123</v>
      </c>
      <c r="S80" s="13"/>
      <c r="T80" s="35">
        <f>SUM(T77:T79)</f>
        <v>17130.084178557634</v>
      </c>
      <c r="U80" s="13"/>
      <c r="V80" s="34">
        <f>IF(T$12=0,0,T80/T$12)</f>
        <v>0.22749115774976938</v>
      </c>
      <c r="W80" s="16"/>
      <c r="X80" s="35">
        <f>+P80-T80</f>
        <v>-26564.334178557609</v>
      </c>
      <c r="Y80" s="16"/>
      <c r="Z80" s="34">
        <f>IF(T80=0,0,X80/T80)</f>
        <v>-1.5507416018310742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61">
        <v>44481.978917743058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56" t="s">
        <v>56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A84" s="9"/>
      <c r="B84" s="54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4" x14ac:dyDescent="0.25"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","301", " - ", "Bookstore Operations")</f>
        <v>Department 301 - Bookstore Operations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108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295</v>
      </c>
      <c r="C18" s="10"/>
      <c r="D18" s="22">
        <f>SUM(OSRRefD22x_0)</f>
        <v>128055.81000000001</v>
      </c>
      <c r="E18" s="22"/>
      <c r="F18" s="32">
        <f t="shared" ref="F18:F29" si="0">IF(D$12=0,0,D18/D$12)</f>
        <v>0</v>
      </c>
      <c r="G18" s="22"/>
      <c r="H18" s="22">
        <f>SUM(OSRRefH22x_0)</f>
        <v>128105.76734830769</v>
      </c>
      <c r="I18" s="22"/>
      <c r="J18" s="32">
        <f t="shared" ref="J18:J29" si="1">IF(H$12=0,0,H18/H$12)</f>
        <v>0</v>
      </c>
      <c r="K18" s="4"/>
      <c r="L18" s="22">
        <f t="shared" ref="L18:L29" si="2">+D18-H18</f>
        <v>-49.957348307681968</v>
      </c>
      <c r="M18" s="4"/>
      <c r="N18" s="32">
        <f t="shared" ref="N18:N29" si="3">IF(H18=0,0,L18/H18)</f>
        <v>-3.8996954892633813E-4</v>
      </c>
      <c r="O18" s="10"/>
      <c r="P18" s="22">
        <f>SUM(OSRRefP22x_0)</f>
        <v>474384.22000000003</v>
      </c>
      <c r="Q18" s="22"/>
      <c r="R18" s="32">
        <f t="shared" ref="R18:R29" si="4">IF(P$12=0,0,P18/P$12)</f>
        <v>0</v>
      </c>
      <c r="S18" s="22"/>
      <c r="T18" s="22">
        <f>SUM(OSRRefT22x_0)</f>
        <v>483167.93149700004</v>
      </c>
      <c r="U18" s="22"/>
      <c r="V18" s="32">
        <f t="shared" ref="V18:V29" si="5">IF(T$12=0,0,T18/T$12)</f>
        <v>0</v>
      </c>
      <c r="W18" s="4"/>
      <c r="X18" s="22">
        <f t="shared" ref="X18:X29" si="6">+P18-T18</f>
        <v>-8783.7114970000111</v>
      </c>
      <c r="Y18" s="4"/>
      <c r="Z18" s="32">
        <f t="shared" ref="Z18:Z29" si="7">IF(T18=0,0,X18/T18)</f>
        <v>-1.8179417391765679E-2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12772.51</v>
      </c>
      <c r="E19" s="1"/>
      <c r="F19" s="5">
        <f t="shared" si="0"/>
        <v>0</v>
      </c>
      <c r="G19" s="1"/>
      <c r="H19" s="1">
        <f>SUM(OSRRefH22_0x_0)</f>
        <v>5187.1176560000031</v>
      </c>
      <c r="I19" s="1"/>
      <c r="J19" s="5">
        <f t="shared" si="1"/>
        <v>0</v>
      </c>
      <c r="K19" s="1"/>
      <c r="L19" s="1">
        <f t="shared" si="2"/>
        <v>7585.3923439999971</v>
      </c>
      <c r="M19" s="1"/>
      <c r="N19" s="5">
        <f t="shared" si="3"/>
        <v>1.4623520897440758</v>
      </c>
      <c r="O19" s="14"/>
      <c r="P19" s="1">
        <f>SUM(OSRRefP22_0x_0)</f>
        <v>40884.21</v>
      </c>
      <c r="Q19" s="1"/>
      <c r="R19" s="5">
        <f t="shared" si="4"/>
        <v>0</v>
      </c>
      <c r="S19" s="1"/>
      <c r="T19" s="1">
        <f>SUM(OSRRefT22_0x_0)</f>
        <v>22022.177497000011</v>
      </c>
      <c r="U19" s="1"/>
      <c r="V19" s="5">
        <f t="shared" si="5"/>
        <v>0</v>
      </c>
      <c r="W19" s="1"/>
      <c r="X19" s="1">
        <f t="shared" si="6"/>
        <v>18862.032502999988</v>
      </c>
      <c r="Y19" s="1"/>
      <c r="Z19" s="5">
        <f t="shared" si="7"/>
        <v>0.85650170177628815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2271.34</v>
      </c>
      <c r="E20" s="2"/>
      <c r="F20" s="6">
        <f t="shared" si="0"/>
        <v>0</v>
      </c>
      <c r="G20" s="2"/>
      <c r="H20" s="7">
        <v>976.89720830769204</v>
      </c>
      <c r="I20" s="2"/>
      <c r="J20" s="6">
        <f t="shared" si="1"/>
        <v>0</v>
      </c>
      <c r="K20" s="2"/>
      <c r="L20" s="7">
        <f t="shared" si="2"/>
        <v>1294.4427916923082</v>
      </c>
      <c r="M20" s="2"/>
      <c r="N20" s="6">
        <f t="shared" si="3"/>
        <v>1.3250552675185856</v>
      </c>
      <c r="O20" s="11"/>
      <c r="P20" s="7">
        <v>9480.07</v>
      </c>
      <c r="Q20" s="2"/>
      <c r="R20" s="6">
        <f t="shared" si="4"/>
        <v>0</v>
      </c>
      <c r="S20" s="2"/>
      <c r="T20" s="7">
        <v>7737.0988170000001</v>
      </c>
      <c r="U20" s="2"/>
      <c r="V20" s="6">
        <f t="shared" si="5"/>
        <v>0</v>
      </c>
      <c r="W20" s="2"/>
      <c r="X20" s="7">
        <f t="shared" si="6"/>
        <v>1742.9711829999997</v>
      </c>
      <c r="Y20" s="2"/>
      <c r="Z20" s="6">
        <f t="shared" si="7"/>
        <v>0.22527451493450398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848.92</v>
      </c>
      <c r="E21" s="2"/>
      <c r="F21" s="6">
        <f t="shared" si="0"/>
        <v>0</v>
      </c>
      <c r="G21" s="2"/>
      <c r="H21" s="7">
        <v>773.85191999999995</v>
      </c>
      <c r="I21" s="2"/>
      <c r="J21" s="6">
        <f t="shared" si="1"/>
        <v>0</v>
      </c>
      <c r="K21" s="2"/>
      <c r="L21" s="7">
        <f t="shared" si="2"/>
        <v>75.068080000000009</v>
      </c>
      <c r="M21" s="2"/>
      <c r="N21" s="6">
        <f t="shared" si="3"/>
        <v>9.7005742390611396E-2</v>
      </c>
      <c r="O21" s="11"/>
      <c r="P21" s="7">
        <v>2308.36</v>
      </c>
      <c r="Q21" s="2"/>
      <c r="R21" s="6">
        <f t="shared" si="4"/>
        <v>0</v>
      </c>
      <c r="S21" s="2"/>
      <c r="T21" s="7">
        <v>2768.35104</v>
      </c>
      <c r="U21" s="2"/>
      <c r="V21" s="6">
        <f t="shared" si="5"/>
        <v>0</v>
      </c>
      <c r="W21" s="2"/>
      <c r="X21" s="7">
        <f t="shared" si="6"/>
        <v>-459.99103999999988</v>
      </c>
      <c r="Y21" s="2"/>
      <c r="Z21" s="6">
        <f t="shared" si="7"/>
        <v>-0.16616066147449274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4982.24</v>
      </c>
      <c r="E22" s="2"/>
      <c r="F22" s="6">
        <f t="shared" si="0"/>
        <v>0</v>
      </c>
      <c r="G22" s="2"/>
      <c r="H22" s="7">
        <v>1303</v>
      </c>
      <c r="I22" s="2"/>
      <c r="J22" s="6">
        <f t="shared" si="1"/>
        <v>0</v>
      </c>
      <c r="K22" s="2"/>
      <c r="L22" s="7">
        <f t="shared" si="2"/>
        <v>3679.24</v>
      </c>
      <c r="M22" s="2"/>
      <c r="N22" s="6">
        <f t="shared" si="3"/>
        <v>2.823668457405986</v>
      </c>
      <c r="O22" s="11"/>
      <c r="P22" s="7">
        <v>15144.8</v>
      </c>
      <c r="Q22" s="2"/>
      <c r="R22" s="6">
        <f t="shared" si="4"/>
        <v>0</v>
      </c>
      <c r="S22" s="2"/>
      <c r="T22" s="7">
        <v>4062</v>
      </c>
      <c r="U22" s="2"/>
      <c r="V22" s="6">
        <f t="shared" si="5"/>
        <v>0</v>
      </c>
      <c r="W22" s="2"/>
      <c r="X22" s="7">
        <f t="shared" si="6"/>
        <v>11082.8</v>
      </c>
      <c r="Y22" s="2"/>
      <c r="Z22" s="6">
        <f t="shared" si="7"/>
        <v>2.7284096504185129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150.62</v>
      </c>
      <c r="E23" s="2"/>
      <c r="F23" s="6">
        <f t="shared" si="0"/>
        <v>0</v>
      </c>
      <c r="G23" s="2"/>
      <c r="H23" s="7">
        <v>104.172373846154</v>
      </c>
      <c r="I23" s="2"/>
      <c r="J23" s="6">
        <f t="shared" si="1"/>
        <v>0</v>
      </c>
      <c r="K23" s="2"/>
      <c r="L23" s="7">
        <f t="shared" si="2"/>
        <v>46.447626153846002</v>
      </c>
      <c r="M23" s="2"/>
      <c r="N23" s="6">
        <f t="shared" si="3"/>
        <v>0.4458727821873556</v>
      </c>
      <c r="O23" s="11"/>
      <c r="P23" s="7">
        <v>413.63</v>
      </c>
      <c r="Q23" s="2"/>
      <c r="R23" s="6">
        <f t="shared" si="4"/>
        <v>0</v>
      </c>
      <c r="S23" s="2"/>
      <c r="T23" s="7">
        <v>372.66264000000001</v>
      </c>
      <c r="U23" s="2"/>
      <c r="V23" s="6">
        <f t="shared" si="5"/>
        <v>0</v>
      </c>
      <c r="W23" s="2"/>
      <c r="X23" s="7">
        <f t="shared" si="6"/>
        <v>40.967359999999985</v>
      </c>
      <c r="Y23" s="2"/>
      <c r="Z23" s="6">
        <f t="shared" si="7"/>
        <v>0.10993149192524365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1518.86</v>
      </c>
      <c r="E24" s="2"/>
      <c r="F24" s="6">
        <f t="shared" si="0"/>
        <v>0</v>
      </c>
      <c r="G24" s="2"/>
      <c r="H24" s="7">
        <v>374.76153846153801</v>
      </c>
      <c r="I24" s="2"/>
      <c r="J24" s="6">
        <f t="shared" si="1"/>
        <v>0</v>
      </c>
      <c r="K24" s="2"/>
      <c r="L24" s="7">
        <f t="shared" si="2"/>
        <v>1144.0984615384618</v>
      </c>
      <c r="M24" s="2"/>
      <c r="N24" s="6">
        <f t="shared" si="3"/>
        <v>3.0528705433198593</v>
      </c>
      <c r="O24" s="11"/>
      <c r="P24" s="7">
        <v>4556.58</v>
      </c>
      <c r="Q24" s="2"/>
      <c r="R24" s="6">
        <f t="shared" si="4"/>
        <v>0</v>
      </c>
      <c r="S24" s="2"/>
      <c r="T24" s="7">
        <v>1217.9749999999999</v>
      </c>
      <c r="U24" s="2"/>
      <c r="V24" s="6">
        <f t="shared" si="5"/>
        <v>0</v>
      </c>
      <c r="W24" s="2"/>
      <c r="X24" s="7">
        <f t="shared" si="6"/>
        <v>3338.605</v>
      </c>
      <c r="Y24" s="2"/>
      <c r="Z24" s="6">
        <f t="shared" si="7"/>
        <v>2.7411112707567891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"6117", " - ", "RETIREMENT STAFF HOURLY")</f>
        <v xml:space="preserve">          6117 - RETIREMENT STAFF HOURLY</v>
      </c>
      <c r="C26" s="11"/>
      <c r="D26" s="7">
        <v>233.16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233.16</v>
      </c>
      <c r="M26" s="2"/>
      <c r="N26" s="6">
        <f t="shared" si="3"/>
        <v>0</v>
      </c>
      <c r="O26" s="11"/>
      <c r="P26" s="7">
        <v>962.76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962.76</v>
      </c>
      <c r="Y26" s="2"/>
      <c r="Z26" s="6">
        <f t="shared" si="7"/>
        <v>0</v>
      </c>
    </row>
    <row r="27" spans="1:26" s="24" customFormat="1" hidden="1" outlineLevel="2" x14ac:dyDescent="0.25">
      <c r="A27" s="29"/>
      <c r="B27" s="11" t="str">
        <f>CONCATENATE("          ", "6118", " - ", "VACATION")</f>
        <v xml:space="preserve">          6118 - VACATION</v>
      </c>
      <c r="C27" s="11"/>
      <c r="D27" s="7">
        <v>1147.9100000000001</v>
      </c>
      <c r="E27" s="2"/>
      <c r="F27" s="6">
        <f t="shared" si="0"/>
        <v>0</v>
      </c>
      <c r="G27" s="2"/>
      <c r="H27" s="7">
        <v>249.386769230769</v>
      </c>
      <c r="I27" s="2"/>
      <c r="J27" s="6">
        <f t="shared" si="1"/>
        <v>0</v>
      </c>
      <c r="K27" s="2"/>
      <c r="L27" s="7">
        <f t="shared" si="2"/>
        <v>898.52323076923108</v>
      </c>
      <c r="M27" s="2"/>
      <c r="N27" s="6">
        <f t="shared" si="3"/>
        <v>3.6029306347755217</v>
      </c>
      <c r="O27" s="11"/>
      <c r="P27" s="7">
        <v>3683.43</v>
      </c>
      <c r="Q27" s="2"/>
      <c r="R27" s="6">
        <f t="shared" si="4"/>
        <v>0</v>
      </c>
      <c r="S27" s="2"/>
      <c r="T27" s="7">
        <v>810.50699999999995</v>
      </c>
      <c r="U27" s="2"/>
      <c r="V27" s="6">
        <f t="shared" si="5"/>
        <v>0</v>
      </c>
      <c r="W27" s="2"/>
      <c r="X27" s="7">
        <f t="shared" si="6"/>
        <v>2872.9229999999998</v>
      </c>
      <c r="Y27" s="2"/>
      <c r="Z27" s="6">
        <f t="shared" si="7"/>
        <v>3.5445998615681296</v>
      </c>
    </row>
    <row r="28" spans="1:26" s="24" customFormat="1" hidden="1" outlineLevel="2" x14ac:dyDescent="0.25">
      <c r="A28" s="29"/>
      <c r="B28" s="11" t="str">
        <f>CONCATENATE("          ", "6119", " - ", "SICK LEAVE")</f>
        <v xml:space="preserve">          6119 - SICK LEAVE</v>
      </c>
      <c r="C28" s="11"/>
      <c r="D28" s="7">
        <v>1139.6300000000001</v>
      </c>
      <c r="E28" s="2"/>
      <c r="F28" s="6">
        <f t="shared" si="0"/>
        <v>0</v>
      </c>
      <c r="G28" s="2"/>
      <c r="H28" s="7">
        <v>1405.0478461538501</v>
      </c>
      <c r="I28" s="2"/>
      <c r="J28" s="6">
        <f t="shared" si="1"/>
        <v>0</v>
      </c>
      <c r="K28" s="2"/>
      <c r="L28" s="7">
        <f t="shared" si="2"/>
        <v>-265.41784615384995</v>
      </c>
      <c r="M28" s="2"/>
      <c r="N28" s="6">
        <f t="shared" si="3"/>
        <v>-0.18890306609870935</v>
      </c>
      <c r="O28" s="11"/>
      <c r="P28" s="7">
        <v>3050.09</v>
      </c>
      <c r="Q28" s="2"/>
      <c r="R28" s="6">
        <f t="shared" si="4"/>
        <v>0</v>
      </c>
      <c r="S28" s="2"/>
      <c r="T28" s="7">
        <v>5053.5830000000096</v>
      </c>
      <c r="U28" s="2"/>
      <c r="V28" s="6">
        <f t="shared" si="5"/>
        <v>0</v>
      </c>
      <c r="W28" s="2"/>
      <c r="X28" s="7">
        <f t="shared" si="6"/>
        <v>-2003.4930000000095</v>
      </c>
      <c r="Y28" s="2"/>
      <c r="Z28" s="6">
        <f t="shared" si="7"/>
        <v>-0.39645000388833146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7">
        <v>479.83</v>
      </c>
      <c r="E29" s="2"/>
      <c r="F29" s="6">
        <f t="shared" si="0"/>
        <v>0</v>
      </c>
      <c r="G29" s="2"/>
      <c r="H29" s="7"/>
      <c r="I29" s="2"/>
      <c r="J29" s="6">
        <f t="shared" si="1"/>
        <v>0</v>
      </c>
      <c r="K29" s="2"/>
      <c r="L29" s="7">
        <f t="shared" si="2"/>
        <v>479.83</v>
      </c>
      <c r="M29" s="2"/>
      <c r="N29" s="6">
        <f t="shared" si="3"/>
        <v>0</v>
      </c>
      <c r="O29" s="11"/>
      <c r="P29" s="7">
        <v>1284.49</v>
      </c>
      <c r="Q29" s="2"/>
      <c r="R29" s="6">
        <f t="shared" si="4"/>
        <v>0</v>
      </c>
      <c r="S29" s="2"/>
      <c r="T29" s="7"/>
      <c r="U29" s="2"/>
      <c r="V29" s="6">
        <f t="shared" si="5"/>
        <v>0</v>
      </c>
      <c r="W29" s="2"/>
      <c r="X29" s="7">
        <f t="shared" si="6"/>
        <v>1284.49</v>
      </c>
      <c r="Y29" s="2"/>
      <c r="Z29" s="6">
        <f t="shared" si="7"/>
        <v>0</v>
      </c>
    </row>
    <row r="30" spans="1:26" s="28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52654.07</v>
      </c>
      <c r="E30" s="1"/>
      <c r="F30" s="5">
        <f t="shared" ref="F30:F40" si="8">IF(D$12=0,0,D30/D$12)</f>
        <v>0</v>
      </c>
      <c r="G30" s="1"/>
      <c r="H30" s="1">
        <f>SUM(OSRRefH22_1x_0)</f>
        <v>49464.649692307692</v>
      </c>
      <c r="I30" s="1"/>
      <c r="J30" s="5">
        <f t="shared" ref="J30:J40" si="9">IF(H$12=0,0,H30/H$12)</f>
        <v>0</v>
      </c>
      <c r="K30" s="1"/>
      <c r="L30" s="1">
        <f t="shared" ref="L30:L40" si="10">+D30-H30</f>
        <v>3189.4203076923077</v>
      </c>
      <c r="M30" s="1"/>
      <c r="N30" s="5">
        <f t="shared" ref="N30:N40" si="11">IF(H30=0,0,L30/H30)</f>
        <v>6.4478780857277526E-2</v>
      </c>
      <c r="O30" s="14"/>
      <c r="P30" s="1">
        <f>SUM(OSRRefP22_1x_0)</f>
        <v>172132.59999999998</v>
      </c>
      <c r="Q30" s="1"/>
      <c r="R30" s="5">
        <f t="shared" ref="R30:R40" si="12">IF(P$12=0,0,P30/P$12)</f>
        <v>0</v>
      </c>
      <c r="S30" s="1"/>
      <c r="T30" s="1">
        <f>SUM(OSRRefT22_1x_0)</f>
        <v>177161.75399999999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-5029.1540000000095</v>
      </c>
      <c r="Y30" s="1"/>
      <c r="Z30" s="5">
        <f t="shared" ref="Z30:Z40" si="15">IF(T30=0,0,X30/T30)</f>
        <v>-2.8387357239644456E-2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>
        <v>4479.1000000000004</v>
      </c>
      <c r="E31" s="2"/>
      <c r="F31" s="6">
        <f t="shared" si="8"/>
        <v>0</v>
      </c>
      <c r="G31" s="2"/>
      <c r="H31" s="7">
        <v>4139.8076923076896</v>
      </c>
      <c r="I31" s="2"/>
      <c r="J31" s="6">
        <f t="shared" si="9"/>
        <v>0</v>
      </c>
      <c r="K31" s="2"/>
      <c r="L31" s="7">
        <f t="shared" si="10"/>
        <v>339.29230769231071</v>
      </c>
      <c r="M31" s="2"/>
      <c r="N31" s="6">
        <f t="shared" si="11"/>
        <v>8.1958470757653959E-2</v>
      </c>
      <c r="O31" s="11"/>
      <c r="P31" s="7">
        <v>14557.3</v>
      </c>
      <c r="Q31" s="2"/>
      <c r="R31" s="6">
        <f t="shared" si="12"/>
        <v>0</v>
      </c>
      <c r="S31" s="2"/>
      <c r="T31" s="7">
        <v>13454.375</v>
      </c>
      <c r="U31" s="2"/>
      <c r="V31" s="6">
        <f t="shared" si="13"/>
        <v>0</v>
      </c>
      <c r="W31" s="2"/>
      <c r="X31" s="7">
        <f t="shared" si="14"/>
        <v>1102.9249999999993</v>
      </c>
      <c r="Y31" s="2"/>
      <c r="Z31" s="6">
        <f t="shared" si="15"/>
        <v>8.1975193942490768E-2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7">
        <v>10923.1</v>
      </c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10923.1</v>
      </c>
      <c r="M32" s="2"/>
      <c r="N32" s="6">
        <f t="shared" si="11"/>
        <v>0</v>
      </c>
      <c r="O32" s="11"/>
      <c r="P32" s="7">
        <v>32938.76</v>
      </c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32938.76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>
        <v>8141.26</v>
      </c>
      <c r="E34" s="2"/>
      <c r="F34" s="6">
        <f t="shared" si="8"/>
        <v>0</v>
      </c>
      <c r="G34" s="2"/>
      <c r="H34" s="7">
        <v>8115.4319999999998</v>
      </c>
      <c r="I34" s="2"/>
      <c r="J34" s="6">
        <f t="shared" si="9"/>
        <v>0</v>
      </c>
      <c r="K34" s="2"/>
      <c r="L34" s="7">
        <f t="shared" si="10"/>
        <v>25.828000000000429</v>
      </c>
      <c r="M34" s="2"/>
      <c r="N34" s="6">
        <f t="shared" si="11"/>
        <v>3.1825785737592811E-3</v>
      </c>
      <c r="O34" s="11"/>
      <c r="P34" s="7">
        <v>16634.509999999998</v>
      </c>
      <c r="Q34" s="2"/>
      <c r="R34" s="6">
        <f t="shared" si="12"/>
        <v>0</v>
      </c>
      <c r="S34" s="2"/>
      <c r="T34" s="7">
        <v>26375.153999999999</v>
      </c>
      <c r="U34" s="2"/>
      <c r="V34" s="6">
        <f t="shared" si="13"/>
        <v>0</v>
      </c>
      <c r="W34" s="2"/>
      <c r="X34" s="7">
        <f t="shared" si="14"/>
        <v>-9740.6440000000002</v>
      </c>
      <c r="Y34" s="2"/>
      <c r="Z34" s="6">
        <f t="shared" si="15"/>
        <v>-0.36931136022940381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>
        <v>3945.26</v>
      </c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3945.26</v>
      </c>
      <c r="M35" s="2"/>
      <c r="N35" s="6">
        <f t="shared" si="11"/>
        <v>0</v>
      </c>
      <c r="O35" s="11"/>
      <c r="P35" s="7">
        <v>9324.5499999999993</v>
      </c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9324.5499999999993</v>
      </c>
      <c r="Y35" s="2"/>
      <c r="Z35" s="6">
        <f t="shared" si="15"/>
        <v>0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7">
        <v>2957.46</v>
      </c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2957.46</v>
      </c>
      <c r="M36" s="2"/>
      <c r="N36" s="6">
        <f t="shared" si="11"/>
        <v>0</v>
      </c>
      <c r="O36" s="11"/>
      <c r="P36" s="7">
        <v>9095.65</v>
      </c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9095.65</v>
      </c>
      <c r="Y36" s="2"/>
      <c r="Z36" s="6">
        <f t="shared" si="15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7">
        <v>20168.580000000002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20168.580000000002</v>
      </c>
      <c r="M37" s="2"/>
      <c r="N37" s="6">
        <f t="shared" si="11"/>
        <v>0</v>
      </c>
      <c r="O37" s="11"/>
      <c r="P37" s="7">
        <v>82154.62</v>
      </c>
      <c r="Q37" s="2"/>
      <c r="R37" s="6">
        <f t="shared" si="12"/>
        <v>0</v>
      </c>
      <c r="S37" s="2"/>
      <c r="T37" s="7">
        <v>60209.13</v>
      </c>
      <c r="U37" s="2"/>
      <c r="V37" s="6">
        <f t="shared" si="13"/>
        <v>0</v>
      </c>
      <c r="W37" s="2"/>
      <c r="X37" s="7">
        <f t="shared" si="14"/>
        <v>21945.489999999998</v>
      </c>
      <c r="Y37" s="2"/>
      <c r="Z37" s="6">
        <f t="shared" si="15"/>
        <v>0.36448774463274919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>
        <v>2039.31</v>
      </c>
      <c r="E38" s="2"/>
      <c r="F38" s="6">
        <f t="shared" si="8"/>
        <v>0</v>
      </c>
      <c r="G38" s="2"/>
      <c r="H38" s="7">
        <v>37209.410000000003</v>
      </c>
      <c r="I38" s="2"/>
      <c r="J38" s="6">
        <f t="shared" si="9"/>
        <v>0</v>
      </c>
      <c r="K38" s="2"/>
      <c r="L38" s="7">
        <f t="shared" si="10"/>
        <v>-35170.100000000006</v>
      </c>
      <c r="M38" s="2"/>
      <c r="N38" s="6">
        <f t="shared" si="11"/>
        <v>-0.94519370234572386</v>
      </c>
      <c r="O38" s="11"/>
      <c r="P38" s="7">
        <v>7427.21</v>
      </c>
      <c r="Q38" s="2"/>
      <c r="R38" s="6">
        <f t="shared" si="12"/>
        <v>0</v>
      </c>
      <c r="S38" s="2"/>
      <c r="T38" s="7">
        <v>77123.095000000001</v>
      </c>
      <c r="U38" s="2"/>
      <c r="V38" s="6">
        <f t="shared" si="13"/>
        <v>0</v>
      </c>
      <c r="W38" s="2"/>
      <c r="X38" s="7">
        <f t="shared" si="14"/>
        <v>-69695.884999999995</v>
      </c>
      <c r="Y38" s="2"/>
      <c r="Z38" s="6">
        <f t="shared" si="15"/>
        <v>-0.9036966812600038</v>
      </c>
    </row>
    <row r="39" spans="1:26" s="24" customFormat="1" hidden="1" outlineLevel="2" x14ac:dyDescent="0.25">
      <c r="A39" s="29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9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8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49" si="16">IF(D$12=0,0,D41/D$12)</f>
        <v>0</v>
      </c>
      <c r="G41" s="1"/>
      <c r="H41" s="1">
        <f>SUM(OSRRefH22_2x_0)</f>
        <v>0</v>
      </c>
      <c r="I41" s="1"/>
      <c r="J41" s="5">
        <f t="shared" ref="J41:J49" si="17">IF(H$12=0,0,H41/H$12)</f>
        <v>0</v>
      </c>
      <c r="K41" s="1"/>
      <c r="L41" s="1">
        <f t="shared" ref="L41:L49" si="18">+D41-H41</f>
        <v>0</v>
      </c>
      <c r="M41" s="1"/>
      <c r="N41" s="5">
        <f t="shared" ref="N41:N49" si="19">IF(H41=0,0,L41/H41)</f>
        <v>0</v>
      </c>
      <c r="O41" s="14"/>
      <c r="P41" s="1">
        <f>SUM(OSRRefP22_2x_0)</f>
        <v>160</v>
      </c>
      <c r="Q41" s="1"/>
      <c r="R41" s="5">
        <f t="shared" ref="R41:R49" si="20">IF(P$12=0,0,P41/P$12)</f>
        <v>0</v>
      </c>
      <c r="S41" s="1"/>
      <c r="T41" s="1">
        <f>SUM(OSRRefT22_2x_0)</f>
        <v>0</v>
      </c>
      <c r="U41" s="1"/>
      <c r="V41" s="5">
        <f t="shared" ref="V41:V49" si="21">IF(T$12=0,0,T41/T$12)</f>
        <v>0</v>
      </c>
      <c r="W41" s="1"/>
      <c r="X41" s="1">
        <f t="shared" ref="X41:X49" si="22">+P41-T41</f>
        <v>160</v>
      </c>
      <c r="Y41" s="1"/>
      <c r="Z41" s="5">
        <f t="shared" ref="Z41:Z49" si="23">IF(T41=0,0,X41/T41)</f>
        <v>0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>
        <v>160</v>
      </c>
      <c r="Q42" s="2"/>
      <c r="R42" s="6">
        <f t="shared" si="20"/>
        <v>0</v>
      </c>
      <c r="S42" s="2"/>
      <c r="T42" s="7"/>
      <c r="U42" s="2"/>
      <c r="V42" s="6">
        <f t="shared" si="21"/>
        <v>0</v>
      </c>
      <c r="W42" s="2"/>
      <c r="X42" s="7">
        <f t="shared" si="22"/>
        <v>160</v>
      </c>
      <c r="Y42" s="2"/>
      <c r="Z42" s="6">
        <f t="shared" si="23"/>
        <v>0</v>
      </c>
    </row>
    <row r="43" spans="1:26" s="28" customFormat="1" outlineLevel="1" collapsed="1" x14ac:dyDescent="0.25">
      <c r="A43" s="27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97.52</v>
      </c>
      <c r="E43" s="1"/>
      <c r="F43" s="5">
        <f t="shared" si="16"/>
        <v>0</v>
      </c>
      <c r="G43" s="1"/>
      <c r="H43" s="1">
        <f>SUM(OSRRefH22_3x_0)</f>
        <v>200</v>
      </c>
      <c r="I43" s="1"/>
      <c r="J43" s="5">
        <f t="shared" si="17"/>
        <v>0</v>
      </c>
      <c r="K43" s="1"/>
      <c r="L43" s="1">
        <f t="shared" si="18"/>
        <v>-102.48</v>
      </c>
      <c r="M43" s="1"/>
      <c r="N43" s="5">
        <f t="shared" si="19"/>
        <v>-0.51239999999999997</v>
      </c>
      <c r="O43" s="14"/>
      <c r="P43" s="1">
        <f>SUM(OSRRefP22_3x_0)</f>
        <v>250.54</v>
      </c>
      <c r="Q43" s="1"/>
      <c r="R43" s="5">
        <f t="shared" si="20"/>
        <v>0</v>
      </c>
      <c r="S43" s="1"/>
      <c r="T43" s="1">
        <f>SUM(OSRRefT22_3x_0)</f>
        <v>600</v>
      </c>
      <c r="U43" s="1"/>
      <c r="V43" s="5">
        <f t="shared" si="21"/>
        <v>0</v>
      </c>
      <c r="W43" s="1"/>
      <c r="X43" s="1">
        <f t="shared" si="22"/>
        <v>-349.46000000000004</v>
      </c>
      <c r="Y43" s="1"/>
      <c r="Z43" s="5">
        <f t="shared" si="23"/>
        <v>-0.58243333333333336</v>
      </c>
    </row>
    <row r="44" spans="1:26" s="24" customFormat="1" hidden="1" outlineLevel="2" x14ac:dyDescent="0.25">
      <c r="A44" s="29"/>
      <c r="B44" s="11" t="str">
        <f>CONCATENATE("          ", "6272", " - ", "CASH (OVER/SHORT)")</f>
        <v xml:space="preserve">          6272 - CASH (OVER/SHORT)</v>
      </c>
      <c r="C44" s="11"/>
      <c r="D44" s="7">
        <v>97.52</v>
      </c>
      <c r="E44" s="2"/>
      <c r="F44" s="6">
        <f t="shared" si="16"/>
        <v>0</v>
      </c>
      <c r="G44" s="2"/>
      <c r="H44" s="7">
        <v>200</v>
      </c>
      <c r="I44" s="2"/>
      <c r="J44" s="6">
        <f t="shared" si="17"/>
        <v>0</v>
      </c>
      <c r="K44" s="2"/>
      <c r="L44" s="7">
        <f t="shared" si="18"/>
        <v>-102.48</v>
      </c>
      <c r="M44" s="2"/>
      <c r="N44" s="6">
        <f t="shared" si="19"/>
        <v>-0.51239999999999997</v>
      </c>
      <c r="O44" s="11"/>
      <c r="P44" s="7">
        <v>250.54</v>
      </c>
      <c r="Q44" s="2"/>
      <c r="R44" s="6">
        <f t="shared" si="20"/>
        <v>0</v>
      </c>
      <c r="S44" s="2"/>
      <c r="T44" s="7">
        <v>600</v>
      </c>
      <c r="U44" s="2"/>
      <c r="V44" s="6">
        <f t="shared" si="21"/>
        <v>0</v>
      </c>
      <c r="W44" s="2"/>
      <c r="X44" s="7">
        <f t="shared" si="22"/>
        <v>-349.46000000000004</v>
      </c>
      <c r="Y44" s="2"/>
      <c r="Z44" s="6">
        <f t="shared" si="23"/>
        <v>-0.58243333333333336</v>
      </c>
    </row>
    <row r="45" spans="1:26" s="28" customFormat="1" outlineLevel="1" collapsed="1" x14ac:dyDescent="0.25">
      <c r="A45" s="27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10228.540000000001</v>
      </c>
      <c r="E45" s="1"/>
      <c r="F45" s="5">
        <f t="shared" si="16"/>
        <v>0</v>
      </c>
      <c r="G45" s="1"/>
      <c r="H45" s="1">
        <f>SUM(OSRRefH22_4x_0)</f>
        <v>15000</v>
      </c>
      <c r="I45" s="1"/>
      <c r="J45" s="5">
        <f t="shared" si="17"/>
        <v>0</v>
      </c>
      <c r="K45" s="1"/>
      <c r="L45" s="1">
        <f t="shared" si="18"/>
        <v>-4771.4599999999991</v>
      </c>
      <c r="M45" s="1"/>
      <c r="N45" s="5">
        <f t="shared" si="19"/>
        <v>-0.31809733333333329</v>
      </c>
      <c r="O45" s="14"/>
      <c r="P45" s="1">
        <f>SUM(OSRRefP22_4x_0)</f>
        <v>36086.71</v>
      </c>
      <c r="Q45" s="1"/>
      <c r="R45" s="5">
        <f t="shared" si="20"/>
        <v>0</v>
      </c>
      <c r="S45" s="1"/>
      <c r="T45" s="1">
        <f>SUM(OSRRefT22_4x_0)</f>
        <v>72600</v>
      </c>
      <c r="U45" s="1"/>
      <c r="V45" s="5">
        <f t="shared" si="21"/>
        <v>0</v>
      </c>
      <c r="W45" s="1"/>
      <c r="X45" s="1">
        <f t="shared" si="22"/>
        <v>-36513.29</v>
      </c>
      <c r="Y45" s="1"/>
      <c r="Z45" s="5">
        <f t="shared" si="23"/>
        <v>-0.50293787878787877</v>
      </c>
    </row>
    <row r="46" spans="1:26" s="24" customFormat="1" hidden="1" outlineLevel="2" x14ac:dyDescent="0.25">
      <c r="A46" s="29"/>
      <c r="B46" s="11" t="str">
        <f>CONCATENATE("          ", "6381", " - ", "BANK/CREDIT CARD FEES")</f>
        <v xml:space="preserve">          6381 - BANK/CREDIT CARD FEES</v>
      </c>
      <c r="C46" s="11"/>
      <c r="D46" s="7">
        <v>10228.540000000001</v>
      </c>
      <c r="E46" s="2"/>
      <c r="F46" s="6">
        <f t="shared" si="16"/>
        <v>0</v>
      </c>
      <c r="G46" s="2"/>
      <c r="H46" s="7">
        <v>15000</v>
      </c>
      <c r="I46" s="2"/>
      <c r="J46" s="6">
        <f t="shared" si="17"/>
        <v>0</v>
      </c>
      <c r="K46" s="2"/>
      <c r="L46" s="7">
        <f t="shared" si="18"/>
        <v>-4771.4599999999991</v>
      </c>
      <c r="M46" s="2"/>
      <c r="N46" s="6">
        <f t="shared" si="19"/>
        <v>-0.31809733333333329</v>
      </c>
      <c r="O46" s="11"/>
      <c r="P46" s="7">
        <v>36086.71</v>
      </c>
      <c r="Q46" s="2"/>
      <c r="R46" s="6">
        <f t="shared" si="20"/>
        <v>0</v>
      </c>
      <c r="S46" s="2"/>
      <c r="T46" s="7">
        <v>72600</v>
      </c>
      <c r="U46" s="2"/>
      <c r="V46" s="6">
        <f t="shared" si="21"/>
        <v>0</v>
      </c>
      <c r="W46" s="2"/>
      <c r="X46" s="7">
        <f t="shared" si="22"/>
        <v>-36513.29</v>
      </c>
      <c r="Y46" s="2"/>
      <c r="Z46" s="6">
        <f t="shared" si="23"/>
        <v>-0.50293787878787877</v>
      </c>
    </row>
    <row r="47" spans="1:26" s="28" customFormat="1" outlineLevel="1" collapsed="1" x14ac:dyDescent="0.25">
      <c r="A47" s="27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SUM(OSRRefD22_5x_0)</f>
        <v>30550.800000000003</v>
      </c>
      <c r="E47" s="1"/>
      <c r="F47" s="5">
        <f t="shared" si="16"/>
        <v>0</v>
      </c>
      <c r="G47" s="1"/>
      <c r="H47" s="1">
        <f>SUM(OSRRefH22_5x_0)</f>
        <v>30429</v>
      </c>
      <c r="I47" s="1"/>
      <c r="J47" s="5">
        <f t="shared" si="17"/>
        <v>0</v>
      </c>
      <c r="K47" s="1"/>
      <c r="L47" s="1">
        <f t="shared" si="18"/>
        <v>121.80000000000291</v>
      </c>
      <c r="M47" s="1"/>
      <c r="N47" s="5">
        <f t="shared" si="19"/>
        <v>4.0027605244997502E-3</v>
      </c>
      <c r="O47" s="14"/>
      <c r="P47" s="1">
        <f>SUM(OSRRefP22_5x_0)</f>
        <v>91652.4</v>
      </c>
      <c r="Q47" s="1"/>
      <c r="R47" s="5">
        <f t="shared" si="20"/>
        <v>0</v>
      </c>
      <c r="S47" s="1"/>
      <c r="T47" s="1">
        <f>SUM(OSRRefT22_5x_0)</f>
        <v>91289</v>
      </c>
      <c r="U47" s="1"/>
      <c r="V47" s="5">
        <f t="shared" si="21"/>
        <v>0</v>
      </c>
      <c r="W47" s="1"/>
      <c r="X47" s="1">
        <f t="shared" si="22"/>
        <v>363.39999999999418</v>
      </c>
      <c r="Y47" s="1"/>
      <c r="Z47" s="5">
        <f t="shared" si="23"/>
        <v>3.9807643856323779E-3</v>
      </c>
    </row>
    <row r="48" spans="1:26" s="24" customFormat="1" hidden="1" outlineLevel="2" x14ac:dyDescent="0.25">
      <c r="A48" s="29"/>
      <c r="B48" s="11" t="str">
        <f>CONCATENATE("          ", "6321", " - ", "BUILDING DEPRECIATION")</f>
        <v xml:space="preserve">          6321 - BUILDING DEPRECIATION</v>
      </c>
      <c r="C48" s="11"/>
      <c r="D48" s="7">
        <v>16396.52</v>
      </c>
      <c r="E48" s="2"/>
      <c r="F48" s="6">
        <f t="shared" si="16"/>
        <v>0</v>
      </c>
      <c r="G48" s="2"/>
      <c r="H48" s="7"/>
      <c r="I48" s="2"/>
      <c r="J48" s="6">
        <f t="shared" si="17"/>
        <v>0</v>
      </c>
      <c r="K48" s="2"/>
      <c r="L48" s="7">
        <f t="shared" si="18"/>
        <v>16396.52</v>
      </c>
      <c r="M48" s="2"/>
      <c r="N48" s="6">
        <f t="shared" si="19"/>
        <v>0</v>
      </c>
      <c r="O48" s="11"/>
      <c r="P48" s="7">
        <v>49189.56</v>
      </c>
      <c r="Q48" s="2"/>
      <c r="R48" s="6">
        <f t="shared" si="20"/>
        <v>0</v>
      </c>
      <c r="S48" s="2"/>
      <c r="T48" s="7"/>
      <c r="U48" s="2"/>
      <c r="V48" s="6">
        <f t="shared" si="21"/>
        <v>0</v>
      </c>
      <c r="W48" s="2"/>
      <c r="X48" s="7">
        <f t="shared" si="22"/>
        <v>49189.56</v>
      </c>
      <c r="Y48" s="2"/>
      <c r="Z48" s="6">
        <f t="shared" si="23"/>
        <v>0</v>
      </c>
    </row>
    <row r="49" spans="1:26" s="24" customFormat="1" hidden="1" outlineLevel="2" x14ac:dyDescent="0.25">
      <c r="A49" s="29"/>
      <c r="B49" s="11" t="str">
        <f>CONCATENATE("          ", "6322", " - ", "EQUIPMENT DEPRECIATION EXPENSE")</f>
        <v xml:space="preserve">          6322 - EQUIPMENT DEPRECIATION EXPENSE</v>
      </c>
      <c r="C49" s="11"/>
      <c r="D49" s="7">
        <v>14154.28</v>
      </c>
      <c r="E49" s="2"/>
      <c r="F49" s="6">
        <f t="shared" si="16"/>
        <v>0</v>
      </c>
      <c r="G49" s="2"/>
      <c r="H49" s="7">
        <v>30429</v>
      </c>
      <c r="I49" s="2"/>
      <c r="J49" s="6">
        <f t="shared" si="17"/>
        <v>0</v>
      </c>
      <c r="K49" s="2"/>
      <c r="L49" s="7">
        <f t="shared" si="18"/>
        <v>-16274.72</v>
      </c>
      <c r="M49" s="2"/>
      <c r="N49" s="6">
        <f t="shared" si="19"/>
        <v>-0.53484242005981131</v>
      </c>
      <c r="O49" s="11"/>
      <c r="P49" s="7">
        <v>42462.84</v>
      </c>
      <c r="Q49" s="2"/>
      <c r="R49" s="6">
        <f t="shared" si="20"/>
        <v>0</v>
      </c>
      <c r="S49" s="2"/>
      <c r="T49" s="7">
        <v>91289</v>
      </c>
      <c r="U49" s="2"/>
      <c r="V49" s="6">
        <f t="shared" si="21"/>
        <v>0</v>
      </c>
      <c r="W49" s="2"/>
      <c r="X49" s="7">
        <f t="shared" si="22"/>
        <v>-48826.16</v>
      </c>
      <c r="Y49" s="2"/>
      <c r="Z49" s="6">
        <f t="shared" si="23"/>
        <v>-0.53485261093888647</v>
      </c>
    </row>
    <row r="50" spans="1:26" s="28" customFormat="1" outlineLevel="1" collapsed="1" x14ac:dyDescent="0.25">
      <c r="A50" s="27"/>
      <c r="B50" s="14" t="str">
        <f>CONCATENATE("     ","Discounts and Markdowns                           ")</f>
        <v xml:space="preserve">     Discounts and Markdowns                           </v>
      </c>
      <c r="C50" s="14"/>
      <c r="D50" s="1">
        <f>SUM(OSRRefD22_6x_0)</f>
        <v>0</v>
      </c>
      <c r="E50" s="1"/>
      <c r="F50" s="5">
        <f t="shared" ref="F50:F70" si="24">IF(D$12=0,0,D50/D$12)</f>
        <v>0</v>
      </c>
      <c r="G50" s="1"/>
      <c r="H50" s="1">
        <f>SUM(OSRRefH22_6x_0)</f>
        <v>0</v>
      </c>
      <c r="I50" s="1"/>
      <c r="J50" s="5">
        <f t="shared" ref="J50:J70" si="25">IF(H$12=0,0,H50/H$12)</f>
        <v>0</v>
      </c>
      <c r="K50" s="1"/>
      <c r="L50" s="1">
        <f t="shared" ref="L50:L70" si="26">+D50-H50</f>
        <v>0</v>
      </c>
      <c r="M50" s="1"/>
      <c r="N50" s="5">
        <f t="shared" ref="N50:N70" si="27">IF(H50=0,0,L50/H50)</f>
        <v>0</v>
      </c>
      <c r="O50" s="14"/>
      <c r="P50" s="1">
        <f>SUM(OSRRefP22_6x_0)</f>
        <v>-22.49</v>
      </c>
      <c r="Q50" s="1"/>
      <c r="R50" s="5">
        <f t="shared" ref="R50:R70" si="28">IF(P$12=0,0,P50/P$12)</f>
        <v>0</v>
      </c>
      <c r="S50" s="1"/>
      <c r="T50" s="1">
        <f>SUM(OSRRefT22_6x_0)</f>
        <v>0</v>
      </c>
      <c r="U50" s="1"/>
      <c r="V50" s="5">
        <f t="shared" ref="V50:V70" si="29">IF(T$12=0,0,T50/T$12)</f>
        <v>0</v>
      </c>
      <c r="W50" s="1"/>
      <c r="X50" s="1">
        <f t="shared" ref="X50:X70" si="30">+P50-T50</f>
        <v>-22.49</v>
      </c>
      <c r="Y50" s="1"/>
      <c r="Z50" s="5">
        <f t="shared" ref="Z50:Z70" si="31">IF(T50=0,0,X50/T50)</f>
        <v>0</v>
      </c>
    </row>
    <row r="51" spans="1:26" s="24" customFormat="1" hidden="1" outlineLevel="2" x14ac:dyDescent="0.25">
      <c r="A51" s="29"/>
      <c r="B51" s="11" t="str">
        <f>CONCATENATE("          ", "9175", " - ", "EARNED DISCOUNTS")</f>
        <v xml:space="preserve">          9175 - EARNED DISCOUNTS</v>
      </c>
      <c r="C51" s="11"/>
      <c r="D51" s="7"/>
      <c r="E51" s="2"/>
      <c r="F51" s="6">
        <f t="shared" si="24"/>
        <v>0</v>
      </c>
      <c r="G51" s="2"/>
      <c r="H51" s="7"/>
      <c r="I51" s="2"/>
      <c r="J51" s="6">
        <f t="shared" si="25"/>
        <v>0</v>
      </c>
      <c r="K51" s="2"/>
      <c r="L51" s="7">
        <f t="shared" si="26"/>
        <v>0</v>
      </c>
      <c r="M51" s="2"/>
      <c r="N51" s="6">
        <f t="shared" si="27"/>
        <v>0</v>
      </c>
      <c r="O51" s="11"/>
      <c r="P51" s="7">
        <v>-22.49</v>
      </c>
      <c r="Q51" s="2"/>
      <c r="R51" s="6">
        <f t="shared" si="28"/>
        <v>0</v>
      </c>
      <c r="S51" s="2"/>
      <c r="T51" s="7"/>
      <c r="U51" s="2"/>
      <c r="V51" s="6">
        <f t="shared" si="29"/>
        <v>0</v>
      </c>
      <c r="W51" s="2"/>
      <c r="X51" s="7">
        <f t="shared" si="30"/>
        <v>-22.49</v>
      </c>
      <c r="Y51" s="2"/>
      <c r="Z51" s="6">
        <f t="shared" si="31"/>
        <v>0</v>
      </c>
    </row>
    <row r="52" spans="1:26" s="28" customFormat="1" outlineLevel="1" collapsed="1" x14ac:dyDescent="0.25">
      <c r="A52" s="27"/>
      <c r="B52" s="14" t="str">
        <f>CONCATENATE("     ","Donations                                         ")</f>
        <v xml:space="preserve">     Donations                                         </v>
      </c>
      <c r="C52" s="14"/>
      <c r="D52" s="1">
        <f>SUM(OSRRefD22_7x_0)</f>
        <v>0</v>
      </c>
      <c r="E52" s="1"/>
      <c r="F52" s="5">
        <f t="shared" si="24"/>
        <v>0</v>
      </c>
      <c r="G52" s="1"/>
      <c r="H52" s="1">
        <f>SUM(OSRRefH22_7x_0)</f>
        <v>1250</v>
      </c>
      <c r="I52" s="1"/>
      <c r="J52" s="5">
        <f t="shared" si="25"/>
        <v>0</v>
      </c>
      <c r="K52" s="1"/>
      <c r="L52" s="1">
        <f t="shared" si="26"/>
        <v>-1250</v>
      </c>
      <c r="M52" s="1"/>
      <c r="N52" s="5">
        <f t="shared" si="27"/>
        <v>-1</v>
      </c>
      <c r="O52" s="14"/>
      <c r="P52" s="1">
        <f>SUM(OSRRefP22_7x_0)</f>
        <v>0</v>
      </c>
      <c r="Q52" s="1"/>
      <c r="R52" s="5">
        <f t="shared" si="28"/>
        <v>0</v>
      </c>
      <c r="S52" s="1"/>
      <c r="T52" s="1">
        <f>SUM(OSRRefT22_7x_0)</f>
        <v>3750</v>
      </c>
      <c r="U52" s="1"/>
      <c r="V52" s="5">
        <f t="shared" si="29"/>
        <v>0</v>
      </c>
      <c r="W52" s="1"/>
      <c r="X52" s="1">
        <f t="shared" si="30"/>
        <v>-3750</v>
      </c>
      <c r="Y52" s="1"/>
      <c r="Z52" s="5">
        <f t="shared" si="31"/>
        <v>-1</v>
      </c>
    </row>
    <row r="53" spans="1:26" s="24" customFormat="1" hidden="1" outlineLevel="2" x14ac:dyDescent="0.25">
      <c r="A53" s="29"/>
      <c r="B53" s="11" t="str">
        <f>CONCATENATE("          ", "6399", " - ", "DONATION-ON CAMPUS")</f>
        <v xml:space="preserve">          6399 - DONATION-ON CAMPUS</v>
      </c>
      <c r="C53" s="11"/>
      <c r="D53" s="7"/>
      <c r="E53" s="2"/>
      <c r="F53" s="6">
        <f t="shared" si="24"/>
        <v>0</v>
      </c>
      <c r="G53" s="2"/>
      <c r="H53" s="7">
        <v>1250</v>
      </c>
      <c r="I53" s="2"/>
      <c r="J53" s="6">
        <f t="shared" si="25"/>
        <v>0</v>
      </c>
      <c r="K53" s="2"/>
      <c r="L53" s="7">
        <f t="shared" si="26"/>
        <v>-1250</v>
      </c>
      <c r="M53" s="2"/>
      <c r="N53" s="6">
        <f t="shared" si="27"/>
        <v>-1</v>
      </c>
      <c r="O53" s="11"/>
      <c r="P53" s="7"/>
      <c r="Q53" s="2"/>
      <c r="R53" s="6">
        <f t="shared" si="28"/>
        <v>0</v>
      </c>
      <c r="S53" s="2"/>
      <c r="T53" s="7">
        <v>3750</v>
      </c>
      <c r="U53" s="2"/>
      <c r="V53" s="6">
        <f t="shared" si="29"/>
        <v>0</v>
      </c>
      <c r="W53" s="2"/>
      <c r="X53" s="7">
        <f t="shared" si="30"/>
        <v>-3750</v>
      </c>
      <c r="Y53" s="2"/>
      <c r="Z53" s="6">
        <f t="shared" si="31"/>
        <v>-1</v>
      </c>
    </row>
    <row r="54" spans="1:26" s="28" customFormat="1" outlineLevel="1" collapsed="1" x14ac:dyDescent="0.25">
      <c r="A54" s="27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SUM(OSRRefD22_8x_0)</f>
        <v>447.27</v>
      </c>
      <c r="E54" s="1"/>
      <c r="F54" s="5">
        <f t="shared" si="24"/>
        <v>0</v>
      </c>
      <c r="G54" s="1"/>
      <c r="H54" s="1">
        <f>SUM(OSRRefH22_8x_0)</f>
        <v>100</v>
      </c>
      <c r="I54" s="1"/>
      <c r="J54" s="5">
        <f t="shared" si="25"/>
        <v>0</v>
      </c>
      <c r="K54" s="1"/>
      <c r="L54" s="1">
        <f t="shared" si="26"/>
        <v>347.27</v>
      </c>
      <c r="M54" s="1"/>
      <c r="N54" s="5">
        <f t="shared" si="27"/>
        <v>3.4726999999999997</v>
      </c>
      <c r="O54" s="14"/>
      <c r="P54" s="1">
        <f>SUM(OSRRefP22_8x_0)</f>
        <v>1168.19</v>
      </c>
      <c r="Q54" s="1"/>
      <c r="R54" s="5">
        <f t="shared" si="28"/>
        <v>0</v>
      </c>
      <c r="S54" s="1"/>
      <c r="T54" s="1">
        <f>SUM(OSRRefT22_8x_0)</f>
        <v>300</v>
      </c>
      <c r="U54" s="1"/>
      <c r="V54" s="5">
        <f t="shared" si="29"/>
        <v>0</v>
      </c>
      <c r="W54" s="1"/>
      <c r="X54" s="1">
        <f t="shared" si="30"/>
        <v>868.19</v>
      </c>
      <c r="Y54" s="1"/>
      <c r="Z54" s="5">
        <f t="shared" si="31"/>
        <v>2.893966666666667</v>
      </c>
    </row>
    <row r="55" spans="1:26" s="24" customFormat="1" hidden="1" outlineLevel="2" x14ac:dyDescent="0.25">
      <c r="A55" s="29"/>
      <c r="B55" s="11" t="str">
        <f>CONCATENATE("          ", "6277", " - ", "EMPLOYEE APPRECIATION")</f>
        <v xml:space="preserve">          6277 - EMPLOYEE APPRECIATION</v>
      </c>
      <c r="C55" s="11"/>
      <c r="D55" s="7">
        <v>447.27</v>
      </c>
      <c r="E55" s="2"/>
      <c r="F55" s="6">
        <f t="shared" si="24"/>
        <v>0</v>
      </c>
      <c r="G55" s="2"/>
      <c r="H55" s="7">
        <v>100</v>
      </c>
      <c r="I55" s="2"/>
      <c r="J55" s="6">
        <f t="shared" si="25"/>
        <v>0</v>
      </c>
      <c r="K55" s="2"/>
      <c r="L55" s="7">
        <f t="shared" si="26"/>
        <v>347.27</v>
      </c>
      <c r="M55" s="2"/>
      <c r="N55" s="6">
        <f t="shared" si="27"/>
        <v>3.4726999999999997</v>
      </c>
      <c r="O55" s="11"/>
      <c r="P55" s="7">
        <v>1168.19</v>
      </c>
      <c r="Q55" s="2"/>
      <c r="R55" s="6">
        <f t="shared" si="28"/>
        <v>0</v>
      </c>
      <c r="S55" s="2"/>
      <c r="T55" s="7">
        <v>300</v>
      </c>
      <c r="U55" s="2"/>
      <c r="V55" s="6">
        <f t="shared" si="29"/>
        <v>0</v>
      </c>
      <c r="W55" s="2"/>
      <c r="X55" s="7">
        <f t="shared" si="30"/>
        <v>868.19</v>
      </c>
      <c r="Y55" s="2"/>
      <c r="Z55" s="6">
        <f t="shared" si="31"/>
        <v>2.893966666666667</v>
      </c>
    </row>
    <row r="56" spans="1:26" s="28" customFormat="1" outlineLevel="1" collapsed="1" x14ac:dyDescent="0.25">
      <c r="A56" s="27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SUM(OSRRefD22_9x_0)</f>
        <v>91.26</v>
      </c>
      <c r="E56" s="1"/>
      <c r="F56" s="5">
        <f t="shared" si="24"/>
        <v>0</v>
      </c>
      <c r="G56" s="1"/>
      <c r="H56" s="1">
        <f>SUM(OSRRefH22_9x_0)</f>
        <v>300</v>
      </c>
      <c r="I56" s="1"/>
      <c r="J56" s="5">
        <f t="shared" si="25"/>
        <v>0</v>
      </c>
      <c r="K56" s="1"/>
      <c r="L56" s="1">
        <f t="shared" si="26"/>
        <v>-208.74</v>
      </c>
      <c r="M56" s="1"/>
      <c r="N56" s="5">
        <f t="shared" si="27"/>
        <v>-0.69580000000000009</v>
      </c>
      <c r="O56" s="14"/>
      <c r="P56" s="1">
        <f>SUM(OSRRefP22_9x_0)</f>
        <v>1189.3499999999999</v>
      </c>
      <c r="Q56" s="1"/>
      <c r="R56" s="5">
        <f t="shared" si="28"/>
        <v>0</v>
      </c>
      <c r="S56" s="1"/>
      <c r="T56" s="1">
        <f>SUM(OSRRefT22_9x_0)</f>
        <v>900</v>
      </c>
      <c r="U56" s="1"/>
      <c r="V56" s="5">
        <f t="shared" si="29"/>
        <v>0</v>
      </c>
      <c r="W56" s="1"/>
      <c r="X56" s="1">
        <f t="shared" si="30"/>
        <v>289.34999999999991</v>
      </c>
      <c r="Y56" s="1"/>
      <c r="Z56" s="5">
        <f t="shared" si="31"/>
        <v>0.3214999999999999</v>
      </c>
    </row>
    <row r="57" spans="1:26" s="24" customFormat="1" hidden="1" outlineLevel="2" x14ac:dyDescent="0.25">
      <c r="A57" s="29"/>
      <c r="B57" s="11" t="str">
        <f>CONCATENATE("          ", "6351", " - ", "EQUIPMENT RENTAL")</f>
        <v xml:space="preserve">          6351 - EQUIPMENT RENTAL</v>
      </c>
      <c r="C57" s="11"/>
      <c r="D57" s="7">
        <v>91.26</v>
      </c>
      <c r="E57" s="2"/>
      <c r="F57" s="6">
        <f t="shared" si="24"/>
        <v>0</v>
      </c>
      <c r="G57" s="2"/>
      <c r="H57" s="7">
        <v>300</v>
      </c>
      <c r="I57" s="2"/>
      <c r="J57" s="6">
        <f t="shared" si="25"/>
        <v>0</v>
      </c>
      <c r="K57" s="2"/>
      <c r="L57" s="7">
        <f t="shared" si="26"/>
        <v>-208.74</v>
      </c>
      <c r="M57" s="2"/>
      <c r="N57" s="6">
        <f t="shared" si="27"/>
        <v>-0.69580000000000009</v>
      </c>
      <c r="O57" s="11"/>
      <c r="P57" s="7">
        <v>1189.3499999999999</v>
      </c>
      <c r="Q57" s="2"/>
      <c r="R57" s="6">
        <f t="shared" si="28"/>
        <v>0</v>
      </c>
      <c r="S57" s="2"/>
      <c r="T57" s="7">
        <v>900</v>
      </c>
      <c r="U57" s="2"/>
      <c r="V57" s="6">
        <f t="shared" si="29"/>
        <v>0</v>
      </c>
      <c r="W57" s="2"/>
      <c r="X57" s="7">
        <f t="shared" si="30"/>
        <v>289.34999999999991</v>
      </c>
      <c r="Y57" s="2"/>
      <c r="Z57" s="6">
        <f t="shared" si="31"/>
        <v>0.3214999999999999</v>
      </c>
    </row>
    <row r="58" spans="1:26" s="28" customFormat="1" outlineLevel="1" collapsed="1" x14ac:dyDescent="0.25">
      <c r="A58" s="27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SUM(OSRRefD22_10x_0)</f>
        <v>0.43</v>
      </c>
      <c r="E58" s="1"/>
      <c r="F58" s="5">
        <f t="shared" si="24"/>
        <v>0</v>
      </c>
      <c r="G58" s="1"/>
      <c r="H58" s="1">
        <f>SUM(OSRRefH22_10x_0)</f>
        <v>100</v>
      </c>
      <c r="I58" s="1"/>
      <c r="J58" s="5">
        <f t="shared" si="25"/>
        <v>0</v>
      </c>
      <c r="K58" s="1"/>
      <c r="L58" s="1">
        <f t="shared" si="26"/>
        <v>-99.57</v>
      </c>
      <c r="M58" s="1"/>
      <c r="N58" s="5">
        <f t="shared" si="27"/>
        <v>-0.99569999999999992</v>
      </c>
      <c r="O58" s="14"/>
      <c r="P58" s="1">
        <f>SUM(OSRRefP22_10x_0)</f>
        <v>932.33</v>
      </c>
      <c r="Q58" s="1"/>
      <c r="R58" s="5">
        <f t="shared" si="28"/>
        <v>0</v>
      </c>
      <c r="S58" s="1"/>
      <c r="T58" s="1">
        <f>SUM(OSRRefT22_10x_0)</f>
        <v>300</v>
      </c>
      <c r="U58" s="1"/>
      <c r="V58" s="5">
        <f t="shared" si="29"/>
        <v>0</v>
      </c>
      <c r="W58" s="1"/>
      <c r="X58" s="1">
        <f t="shared" si="30"/>
        <v>632.33000000000004</v>
      </c>
      <c r="Y58" s="1"/>
      <c r="Z58" s="5">
        <f t="shared" si="31"/>
        <v>2.107766666666667</v>
      </c>
    </row>
    <row r="59" spans="1:26" s="24" customFormat="1" hidden="1" outlineLevel="2" x14ac:dyDescent="0.25">
      <c r="A59" s="29"/>
      <c r="B59" s="11" t="str">
        <f>CONCATENATE("          ", "6307", " - ", "POSTAGE")</f>
        <v xml:space="preserve">          6307 - POSTAGE</v>
      </c>
      <c r="C59" s="11"/>
      <c r="D59" s="7">
        <v>0.43</v>
      </c>
      <c r="E59" s="2"/>
      <c r="F59" s="6">
        <f t="shared" si="24"/>
        <v>0</v>
      </c>
      <c r="G59" s="2"/>
      <c r="H59" s="7">
        <v>100</v>
      </c>
      <c r="I59" s="2"/>
      <c r="J59" s="6">
        <f t="shared" si="25"/>
        <v>0</v>
      </c>
      <c r="K59" s="2"/>
      <c r="L59" s="7">
        <f t="shared" si="26"/>
        <v>-99.57</v>
      </c>
      <c r="M59" s="2"/>
      <c r="N59" s="6">
        <f t="shared" si="27"/>
        <v>-0.99569999999999992</v>
      </c>
      <c r="O59" s="11"/>
      <c r="P59" s="7">
        <v>932.33</v>
      </c>
      <c r="Q59" s="2"/>
      <c r="R59" s="6">
        <f t="shared" si="28"/>
        <v>0</v>
      </c>
      <c r="S59" s="2"/>
      <c r="T59" s="7">
        <v>300</v>
      </c>
      <c r="U59" s="2"/>
      <c r="V59" s="6">
        <f t="shared" si="29"/>
        <v>0</v>
      </c>
      <c r="W59" s="2"/>
      <c r="X59" s="7">
        <f t="shared" si="30"/>
        <v>632.33000000000004</v>
      </c>
      <c r="Y59" s="2"/>
      <c r="Z59" s="6">
        <f t="shared" si="31"/>
        <v>2.107766666666667</v>
      </c>
    </row>
    <row r="60" spans="1:26" s="28" customFormat="1" outlineLevel="1" collapsed="1" x14ac:dyDescent="0.25">
      <c r="A60" s="27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SUM(OSRRefD22_11x_0)</f>
        <v>0</v>
      </c>
      <c r="E60" s="1"/>
      <c r="F60" s="5">
        <f t="shared" si="24"/>
        <v>0</v>
      </c>
      <c r="G60" s="1"/>
      <c r="H60" s="1">
        <f>SUM(OSRRefH22_11x_0)</f>
        <v>200</v>
      </c>
      <c r="I60" s="1"/>
      <c r="J60" s="5">
        <f t="shared" si="25"/>
        <v>0</v>
      </c>
      <c r="K60" s="1"/>
      <c r="L60" s="1">
        <f t="shared" si="26"/>
        <v>-200</v>
      </c>
      <c r="M60" s="1"/>
      <c r="N60" s="5">
        <f t="shared" si="27"/>
        <v>-1</v>
      </c>
      <c r="O60" s="14"/>
      <c r="P60" s="1">
        <f>SUM(OSRRefP22_11x_0)</f>
        <v>1547.25</v>
      </c>
      <c r="Q60" s="1"/>
      <c r="R60" s="5">
        <f t="shared" si="28"/>
        <v>0</v>
      </c>
      <c r="S60" s="1"/>
      <c r="T60" s="1">
        <f>SUM(OSRRefT22_11x_0)</f>
        <v>600</v>
      </c>
      <c r="U60" s="1"/>
      <c r="V60" s="5">
        <f t="shared" si="29"/>
        <v>0</v>
      </c>
      <c r="W60" s="1"/>
      <c r="X60" s="1">
        <f t="shared" si="30"/>
        <v>947.25</v>
      </c>
      <c r="Y60" s="1"/>
      <c r="Z60" s="5">
        <f t="shared" si="31"/>
        <v>1.5787500000000001</v>
      </c>
    </row>
    <row r="61" spans="1:26" s="24" customFormat="1" hidden="1" outlineLevel="2" x14ac:dyDescent="0.25">
      <c r="A61" s="29"/>
      <c r="B61" s="11" t="str">
        <f>CONCATENATE("          ", "6279", " - ", "GENERAL EXPENSE")</f>
        <v xml:space="preserve">          6279 - GENERAL EXPENSE</v>
      </c>
      <c r="C61" s="11"/>
      <c r="D61" s="7"/>
      <c r="E61" s="2"/>
      <c r="F61" s="6">
        <f t="shared" si="24"/>
        <v>0</v>
      </c>
      <c r="G61" s="2"/>
      <c r="H61" s="7">
        <v>200</v>
      </c>
      <c r="I61" s="2"/>
      <c r="J61" s="6">
        <f t="shared" si="25"/>
        <v>0</v>
      </c>
      <c r="K61" s="2"/>
      <c r="L61" s="7">
        <f t="shared" si="26"/>
        <v>-200</v>
      </c>
      <c r="M61" s="2"/>
      <c r="N61" s="6">
        <f t="shared" si="27"/>
        <v>-1</v>
      </c>
      <c r="O61" s="11"/>
      <c r="P61" s="7">
        <v>1547.25</v>
      </c>
      <c r="Q61" s="2"/>
      <c r="R61" s="6">
        <f t="shared" si="28"/>
        <v>0</v>
      </c>
      <c r="S61" s="2"/>
      <c r="T61" s="7">
        <v>600</v>
      </c>
      <c r="U61" s="2"/>
      <c r="V61" s="6">
        <f t="shared" si="29"/>
        <v>0</v>
      </c>
      <c r="W61" s="2"/>
      <c r="X61" s="7">
        <f t="shared" si="30"/>
        <v>947.25</v>
      </c>
      <c r="Y61" s="2"/>
      <c r="Z61" s="6">
        <f t="shared" si="31"/>
        <v>1.5787500000000001</v>
      </c>
    </row>
    <row r="62" spans="1:26" s="28" customFormat="1" outlineLevel="1" collapsed="1" x14ac:dyDescent="0.25">
      <c r="A62" s="27"/>
      <c r="B62" s="14" t="str">
        <f>CONCATENATE("     ","Insurance                                         ")</f>
        <v xml:space="preserve">     Insurance                                         </v>
      </c>
      <c r="C62" s="14"/>
      <c r="D62" s="1">
        <f>SUM(OSRRefD22_12x_0)</f>
        <v>5275.49</v>
      </c>
      <c r="E62" s="1"/>
      <c r="F62" s="5">
        <f t="shared" si="24"/>
        <v>0</v>
      </c>
      <c r="G62" s="1"/>
      <c r="H62" s="1">
        <f>SUM(OSRRefH22_12x_0)</f>
        <v>5200</v>
      </c>
      <c r="I62" s="1"/>
      <c r="J62" s="5">
        <f t="shared" si="25"/>
        <v>0</v>
      </c>
      <c r="K62" s="1"/>
      <c r="L62" s="1">
        <f t="shared" si="26"/>
        <v>75.489999999999782</v>
      </c>
      <c r="M62" s="1"/>
      <c r="N62" s="5">
        <f t="shared" si="27"/>
        <v>1.4517307692307651E-2</v>
      </c>
      <c r="O62" s="14"/>
      <c r="P62" s="1">
        <f>SUM(OSRRefP22_12x_0)</f>
        <v>15826.47</v>
      </c>
      <c r="Q62" s="1"/>
      <c r="R62" s="5">
        <f t="shared" si="28"/>
        <v>0</v>
      </c>
      <c r="S62" s="1"/>
      <c r="T62" s="1">
        <f>SUM(OSRRefT22_12x_0)</f>
        <v>15600</v>
      </c>
      <c r="U62" s="1"/>
      <c r="V62" s="5">
        <f t="shared" si="29"/>
        <v>0</v>
      </c>
      <c r="W62" s="1"/>
      <c r="X62" s="1">
        <f t="shared" si="30"/>
        <v>226.46999999999935</v>
      </c>
      <c r="Y62" s="1"/>
      <c r="Z62" s="5">
        <f t="shared" si="31"/>
        <v>1.4517307692307651E-2</v>
      </c>
    </row>
    <row r="63" spans="1:26" s="24" customFormat="1" hidden="1" outlineLevel="2" x14ac:dyDescent="0.25">
      <c r="A63" s="29"/>
      <c r="B63" s="11" t="str">
        <f>CONCATENATE("          ", "6314", " - ", "LIABILITY INSURANCE")</f>
        <v xml:space="preserve">          6314 - LIABILITY INSURANCE</v>
      </c>
      <c r="C63" s="11"/>
      <c r="D63" s="7">
        <v>5275.49</v>
      </c>
      <c r="E63" s="2"/>
      <c r="F63" s="6">
        <f t="shared" si="24"/>
        <v>0</v>
      </c>
      <c r="G63" s="2"/>
      <c r="H63" s="7">
        <v>5200</v>
      </c>
      <c r="I63" s="2"/>
      <c r="J63" s="6">
        <f t="shared" si="25"/>
        <v>0</v>
      </c>
      <c r="K63" s="2"/>
      <c r="L63" s="7">
        <f t="shared" si="26"/>
        <v>75.489999999999782</v>
      </c>
      <c r="M63" s="2"/>
      <c r="N63" s="6">
        <f t="shared" si="27"/>
        <v>1.4517307692307651E-2</v>
      </c>
      <c r="O63" s="11"/>
      <c r="P63" s="7">
        <v>15826.47</v>
      </c>
      <c r="Q63" s="2"/>
      <c r="R63" s="6">
        <f t="shared" si="28"/>
        <v>0</v>
      </c>
      <c r="S63" s="2"/>
      <c r="T63" s="7">
        <v>15600</v>
      </c>
      <c r="U63" s="2"/>
      <c r="V63" s="6">
        <f t="shared" si="29"/>
        <v>0</v>
      </c>
      <c r="W63" s="2"/>
      <c r="X63" s="7">
        <f t="shared" si="30"/>
        <v>226.46999999999935</v>
      </c>
      <c r="Y63" s="2"/>
      <c r="Z63" s="6">
        <f t="shared" si="31"/>
        <v>1.4517307692307651E-2</v>
      </c>
    </row>
    <row r="64" spans="1:26" s="28" customFormat="1" outlineLevel="1" collapsed="1" x14ac:dyDescent="0.25">
      <c r="A64" s="27"/>
      <c r="B64" s="14" t="str">
        <f>CONCATENATE("     ","Rent                                              ")</f>
        <v xml:space="preserve">     Rent                                              </v>
      </c>
      <c r="C64" s="14"/>
      <c r="D64" s="1">
        <f>SUM(OSRRefD22_13x_0)</f>
        <v>-800</v>
      </c>
      <c r="E64" s="1"/>
      <c r="F64" s="5">
        <f t="shared" si="24"/>
        <v>0</v>
      </c>
      <c r="G64" s="1"/>
      <c r="H64" s="1">
        <f>SUM(OSRRefH22_13x_0)</f>
        <v>-800</v>
      </c>
      <c r="I64" s="1"/>
      <c r="J64" s="5">
        <f t="shared" si="25"/>
        <v>0</v>
      </c>
      <c r="K64" s="1"/>
      <c r="L64" s="1">
        <f t="shared" si="26"/>
        <v>0</v>
      </c>
      <c r="M64" s="1"/>
      <c r="N64" s="5">
        <f t="shared" si="27"/>
        <v>0</v>
      </c>
      <c r="O64" s="14"/>
      <c r="P64" s="1">
        <f>SUM(OSRRefP22_13x_0)</f>
        <v>-2400</v>
      </c>
      <c r="Q64" s="1"/>
      <c r="R64" s="5">
        <f t="shared" si="28"/>
        <v>0</v>
      </c>
      <c r="S64" s="1"/>
      <c r="T64" s="1">
        <f>SUM(OSRRefT22_13x_0)</f>
        <v>-2400</v>
      </c>
      <c r="U64" s="1"/>
      <c r="V64" s="5">
        <f t="shared" si="29"/>
        <v>0</v>
      </c>
      <c r="W64" s="1"/>
      <c r="X64" s="1">
        <f t="shared" si="30"/>
        <v>0</v>
      </c>
      <c r="Y64" s="1"/>
      <c r="Z64" s="5">
        <f t="shared" si="31"/>
        <v>0</v>
      </c>
    </row>
    <row r="65" spans="1:26" s="24" customFormat="1" hidden="1" outlineLevel="2" x14ac:dyDescent="0.25">
      <c r="A65" s="29"/>
      <c r="B65" s="11" t="str">
        <f>CONCATENATE("          ", "6273", " - ", "RENT")</f>
        <v xml:space="preserve">          6273 - RENT</v>
      </c>
      <c r="C65" s="11"/>
      <c r="D65" s="7">
        <v>-800</v>
      </c>
      <c r="E65" s="2"/>
      <c r="F65" s="6">
        <f t="shared" si="24"/>
        <v>0</v>
      </c>
      <c r="G65" s="2"/>
      <c r="H65" s="7">
        <v>-800</v>
      </c>
      <c r="I65" s="2"/>
      <c r="J65" s="6">
        <f t="shared" si="25"/>
        <v>0</v>
      </c>
      <c r="K65" s="2"/>
      <c r="L65" s="7">
        <f t="shared" si="26"/>
        <v>0</v>
      </c>
      <c r="M65" s="2"/>
      <c r="N65" s="6">
        <f t="shared" si="27"/>
        <v>0</v>
      </c>
      <c r="O65" s="11"/>
      <c r="P65" s="7">
        <v>-2400</v>
      </c>
      <c r="Q65" s="2"/>
      <c r="R65" s="6">
        <f t="shared" si="28"/>
        <v>0</v>
      </c>
      <c r="S65" s="2"/>
      <c r="T65" s="7">
        <v>-2400</v>
      </c>
      <c r="U65" s="2"/>
      <c r="V65" s="6">
        <f t="shared" si="29"/>
        <v>0</v>
      </c>
      <c r="W65" s="2"/>
      <c r="X65" s="7">
        <f t="shared" si="30"/>
        <v>0</v>
      </c>
      <c r="Y65" s="2"/>
      <c r="Z65" s="6">
        <f t="shared" si="31"/>
        <v>0</v>
      </c>
    </row>
    <row r="66" spans="1:26" s="28" customFormat="1" outlineLevel="1" collapsed="1" x14ac:dyDescent="0.25">
      <c r="A66" s="27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SUM(OSRRefD22_14x_0)</f>
        <v>3897.49</v>
      </c>
      <c r="E66" s="1"/>
      <c r="F66" s="5">
        <f t="shared" si="24"/>
        <v>0</v>
      </c>
      <c r="G66" s="1"/>
      <c r="H66" s="1">
        <f>SUM(OSRRefH22_14x_0)</f>
        <v>4950</v>
      </c>
      <c r="I66" s="1"/>
      <c r="J66" s="5">
        <f t="shared" si="25"/>
        <v>0</v>
      </c>
      <c r="K66" s="1"/>
      <c r="L66" s="1">
        <f t="shared" si="26"/>
        <v>-1052.5100000000002</v>
      </c>
      <c r="M66" s="1"/>
      <c r="N66" s="5">
        <f t="shared" si="27"/>
        <v>-0.21262828282828286</v>
      </c>
      <c r="O66" s="14"/>
      <c r="P66" s="1">
        <f>SUM(OSRRefP22_14x_0)</f>
        <v>68790.759999999995</v>
      </c>
      <c r="Q66" s="1"/>
      <c r="R66" s="5">
        <f t="shared" si="28"/>
        <v>0</v>
      </c>
      <c r="S66" s="1"/>
      <c r="T66" s="1">
        <f>SUM(OSRRefT22_14x_0)</f>
        <v>50470</v>
      </c>
      <c r="U66" s="1"/>
      <c r="V66" s="5">
        <f t="shared" si="29"/>
        <v>0</v>
      </c>
      <c r="W66" s="1"/>
      <c r="X66" s="1">
        <f t="shared" si="30"/>
        <v>18320.759999999995</v>
      </c>
      <c r="Y66" s="1"/>
      <c r="Z66" s="5">
        <f t="shared" si="31"/>
        <v>0.36300297206261134</v>
      </c>
    </row>
    <row r="67" spans="1:26" s="24" customFormat="1" hidden="1" outlineLevel="2" x14ac:dyDescent="0.25">
      <c r="A67" s="29"/>
      <c r="B67" s="11" t="str">
        <f>CONCATENATE("          ", "6371", " - ", "COMPUTER SOFTWARE MAINTENANCE")</f>
        <v xml:space="preserve">          6371 - COMPUTER SOFTWARE MAINTENANCE</v>
      </c>
      <c r="C67" s="11"/>
      <c r="D67" s="7"/>
      <c r="E67" s="2"/>
      <c r="F67" s="6">
        <f t="shared" si="24"/>
        <v>0</v>
      </c>
      <c r="G67" s="2"/>
      <c r="H67" s="7">
        <v>1000</v>
      </c>
      <c r="I67" s="2"/>
      <c r="J67" s="6">
        <f t="shared" si="25"/>
        <v>0</v>
      </c>
      <c r="K67" s="2"/>
      <c r="L67" s="7">
        <f t="shared" si="26"/>
        <v>-1000</v>
      </c>
      <c r="M67" s="2"/>
      <c r="N67" s="6">
        <f t="shared" si="27"/>
        <v>-1</v>
      </c>
      <c r="O67" s="11"/>
      <c r="P67" s="7">
        <v>56736</v>
      </c>
      <c r="Q67" s="2"/>
      <c r="R67" s="6">
        <f t="shared" si="28"/>
        <v>0</v>
      </c>
      <c r="S67" s="2"/>
      <c r="T67" s="7">
        <v>42000</v>
      </c>
      <c r="U67" s="2"/>
      <c r="V67" s="6">
        <f t="shared" si="29"/>
        <v>0</v>
      </c>
      <c r="W67" s="2"/>
      <c r="X67" s="7">
        <f t="shared" si="30"/>
        <v>14736</v>
      </c>
      <c r="Y67" s="2"/>
      <c r="Z67" s="6">
        <f t="shared" si="31"/>
        <v>0.35085714285714287</v>
      </c>
    </row>
    <row r="68" spans="1:26" s="24" customFormat="1" hidden="1" outlineLevel="2" x14ac:dyDescent="0.25">
      <c r="A68" s="29"/>
      <c r="B68" s="11" t="str">
        <f>CONCATENATE("          ", "6372", " - ", "COMPUTER HARDWARE MAINTENANCE")</f>
        <v xml:space="preserve">          6372 - COMPUTER HARDWARE MAINTENANCE</v>
      </c>
      <c r="C68" s="11"/>
      <c r="D68" s="7"/>
      <c r="E68" s="2"/>
      <c r="F68" s="6">
        <f t="shared" si="24"/>
        <v>0</v>
      </c>
      <c r="G68" s="2"/>
      <c r="H68" s="7">
        <v>3750</v>
      </c>
      <c r="I68" s="2"/>
      <c r="J68" s="6">
        <f t="shared" si="25"/>
        <v>0</v>
      </c>
      <c r="K68" s="2"/>
      <c r="L68" s="7">
        <f t="shared" si="26"/>
        <v>-3750</v>
      </c>
      <c r="M68" s="2"/>
      <c r="N68" s="6">
        <f t="shared" si="27"/>
        <v>-1</v>
      </c>
      <c r="O68" s="11"/>
      <c r="P68" s="7"/>
      <c r="Q68" s="2"/>
      <c r="R68" s="6">
        <f t="shared" si="28"/>
        <v>0</v>
      </c>
      <c r="S68" s="2"/>
      <c r="T68" s="7">
        <v>7870</v>
      </c>
      <c r="U68" s="2"/>
      <c r="V68" s="6">
        <f t="shared" si="29"/>
        <v>0</v>
      </c>
      <c r="W68" s="2"/>
      <c r="X68" s="7">
        <f t="shared" si="30"/>
        <v>-7870</v>
      </c>
      <c r="Y68" s="2"/>
      <c r="Z68" s="6">
        <f t="shared" si="31"/>
        <v>-1</v>
      </c>
    </row>
    <row r="69" spans="1:26" s="24" customFormat="1" hidden="1" outlineLevel="2" x14ac:dyDescent="0.25">
      <c r="A69" s="29"/>
      <c r="B69" s="11" t="str">
        <f>CONCATENATE("          ", "6373", " - ", "MAINTENANCE CONTRACTS")</f>
        <v xml:space="preserve">          6373 - MAINTENANCE CONTRACTS</v>
      </c>
      <c r="C69" s="11"/>
      <c r="D69" s="7">
        <v>1074.8900000000001</v>
      </c>
      <c r="E69" s="2"/>
      <c r="F69" s="6">
        <f t="shared" si="24"/>
        <v>0</v>
      </c>
      <c r="G69" s="2"/>
      <c r="H69" s="7">
        <v>200</v>
      </c>
      <c r="I69" s="2"/>
      <c r="J69" s="6">
        <f t="shared" si="25"/>
        <v>0</v>
      </c>
      <c r="K69" s="2"/>
      <c r="L69" s="7">
        <f t="shared" si="26"/>
        <v>874.8900000000001</v>
      </c>
      <c r="M69" s="2"/>
      <c r="N69" s="6">
        <f t="shared" si="27"/>
        <v>4.3744500000000004</v>
      </c>
      <c r="O69" s="11"/>
      <c r="P69" s="7">
        <v>7040.13</v>
      </c>
      <c r="Q69" s="2"/>
      <c r="R69" s="6">
        <f t="shared" si="28"/>
        <v>0</v>
      </c>
      <c r="S69" s="2"/>
      <c r="T69" s="7">
        <v>600</v>
      </c>
      <c r="U69" s="2"/>
      <c r="V69" s="6">
        <f t="shared" si="29"/>
        <v>0</v>
      </c>
      <c r="W69" s="2"/>
      <c r="X69" s="7">
        <f t="shared" si="30"/>
        <v>6440.13</v>
      </c>
      <c r="Y69" s="2"/>
      <c r="Z69" s="6">
        <f t="shared" si="31"/>
        <v>10.733550000000001</v>
      </c>
    </row>
    <row r="70" spans="1:26" s="24" customFormat="1" hidden="1" outlineLevel="2" x14ac:dyDescent="0.25">
      <c r="A70" s="29"/>
      <c r="B70" s="11" t="str">
        <f>CONCATENATE("          ", "6375", " - ", "OUTSIDE REPAIRS &amp; MAINTENANCE")</f>
        <v xml:space="preserve">          6375 - OUTSIDE REPAIRS &amp; MAINTENANCE</v>
      </c>
      <c r="C70" s="11"/>
      <c r="D70" s="7">
        <v>2822.6</v>
      </c>
      <c r="E70" s="2"/>
      <c r="F70" s="6">
        <f t="shared" si="24"/>
        <v>0</v>
      </c>
      <c r="G70" s="2"/>
      <c r="H70" s="7"/>
      <c r="I70" s="2"/>
      <c r="J70" s="6">
        <f t="shared" si="25"/>
        <v>0</v>
      </c>
      <c r="K70" s="2"/>
      <c r="L70" s="7">
        <f t="shared" si="26"/>
        <v>2822.6</v>
      </c>
      <c r="M70" s="2"/>
      <c r="N70" s="6">
        <f t="shared" si="27"/>
        <v>0</v>
      </c>
      <c r="O70" s="11"/>
      <c r="P70" s="7">
        <v>5014.63</v>
      </c>
      <c r="Q70" s="2"/>
      <c r="R70" s="6">
        <f t="shared" si="28"/>
        <v>0</v>
      </c>
      <c r="S70" s="2"/>
      <c r="T70" s="7"/>
      <c r="U70" s="2"/>
      <c r="V70" s="6">
        <f t="shared" si="29"/>
        <v>0</v>
      </c>
      <c r="W70" s="2"/>
      <c r="X70" s="7">
        <f t="shared" si="30"/>
        <v>5014.63</v>
      </c>
      <c r="Y70" s="2"/>
      <c r="Z70" s="6">
        <f t="shared" si="31"/>
        <v>0</v>
      </c>
    </row>
    <row r="71" spans="1:26" s="28" customFormat="1" outlineLevel="1" collapsed="1" x14ac:dyDescent="0.25">
      <c r="A71" s="27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SUM(OSRRefD22_15x_0)</f>
        <v>3780.54</v>
      </c>
      <c r="E71" s="1"/>
      <c r="F71" s="5">
        <f t="shared" ref="F71:F73" si="32">IF(D$12=0,0,D71/D$12)</f>
        <v>0</v>
      </c>
      <c r="G71" s="1"/>
      <c r="H71" s="1">
        <f>SUM(OSRRefH22_15x_0)</f>
        <v>4300</v>
      </c>
      <c r="I71" s="1"/>
      <c r="J71" s="5">
        <f t="shared" ref="J71:J73" si="33">IF(H$12=0,0,H71/H$12)</f>
        <v>0</v>
      </c>
      <c r="K71" s="1"/>
      <c r="L71" s="1">
        <f t="shared" ref="L71:L73" si="34">+D71-H71</f>
        <v>-519.46</v>
      </c>
      <c r="M71" s="1"/>
      <c r="N71" s="5">
        <f t="shared" ref="N71:N73" si="35">IF(H71=0,0,L71/H71)</f>
        <v>-0.12080465116279071</v>
      </c>
      <c r="O71" s="14"/>
      <c r="P71" s="1">
        <f>SUM(OSRRefP22_15x_0)</f>
        <v>18125.79</v>
      </c>
      <c r="Q71" s="1"/>
      <c r="R71" s="5">
        <f t="shared" ref="R71:R73" si="36">IF(P$12=0,0,P71/P$12)</f>
        <v>0</v>
      </c>
      <c r="S71" s="1"/>
      <c r="T71" s="1">
        <f>SUM(OSRRefT22_15x_0)</f>
        <v>12900</v>
      </c>
      <c r="U71" s="1"/>
      <c r="V71" s="5">
        <f t="shared" ref="V71:V73" si="37">IF(T$12=0,0,T71/T$12)</f>
        <v>0</v>
      </c>
      <c r="W71" s="1"/>
      <c r="X71" s="1">
        <f t="shared" ref="X71:X73" si="38">+P71-T71</f>
        <v>5225.7900000000009</v>
      </c>
      <c r="Y71" s="1"/>
      <c r="Z71" s="5">
        <f t="shared" ref="Z71:Z73" si="39">IF(T71=0,0,X71/T71)</f>
        <v>0.40510000000000007</v>
      </c>
    </row>
    <row r="72" spans="1:26" s="24" customFormat="1" hidden="1" outlineLevel="2" x14ac:dyDescent="0.25">
      <c r="A72" s="29"/>
      <c r="B72" s="11" t="str">
        <f>CONCATENATE("          ", "6282", " - ", "JANITORIAL/EXTERMINATOR EXPENS")</f>
        <v xml:space="preserve">          6282 - JANITORIAL/EXTERMINATOR EXPENS</v>
      </c>
      <c r="C72" s="11"/>
      <c r="D72" s="7">
        <v>413.27</v>
      </c>
      <c r="E72" s="2"/>
      <c r="F72" s="6">
        <f t="shared" si="32"/>
        <v>0</v>
      </c>
      <c r="G72" s="2"/>
      <c r="H72" s="7">
        <v>4300</v>
      </c>
      <c r="I72" s="2"/>
      <c r="J72" s="6">
        <f t="shared" si="33"/>
        <v>0</v>
      </c>
      <c r="K72" s="2"/>
      <c r="L72" s="7">
        <f t="shared" si="34"/>
        <v>-3886.73</v>
      </c>
      <c r="M72" s="2"/>
      <c r="N72" s="6">
        <f t="shared" si="35"/>
        <v>-0.90389069767441865</v>
      </c>
      <c r="O72" s="11"/>
      <c r="P72" s="7">
        <v>704.27</v>
      </c>
      <c r="Q72" s="2"/>
      <c r="R72" s="6">
        <f t="shared" si="36"/>
        <v>0</v>
      </c>
      <c r="S72" s="2"/>
      <c r="T72" s="7">
        <v>12900</v>
      </c>
      <c r="U72" s="2"/>
      <c r="V72" s="6">
        <f t="shared" si="37"/>
        <v>0</v>
      </c>
      <c r="W72" s="2"/>
      <c r="X72" s="7">
        <f t="shared" si="38"/>
        <v>-12195.73</v>
      </c>
      <c r="Y72" s="2"/>
      <c r="Z72" s="6">
        <f t="shared" si="39"/>
        <v>-0.94540542635658908</v>
      </c>
    </row>
    <row r="73" spans="1:26" s="24" customFormat="1" hidden="1" outlineLevel="2" x14ac:dyDescent="0.25">
      <c r="A73" s="29"/>
      <c r="B73" s="11" t="str">
        <f>CONCATENATE("          ", "6285", " - ", "JANITORIAL SERVICES")</f>
        <v xml:space="preserve">          6285 - JANITORIAL SERVICES</v>
      </c>
      <c r="C73" s="11"/>
      <c r="D73" s="7">
        <v>3367.27</v>
      </c>
      <c r="E73" s="2"/>
      <c r="F73" s="6">
        <f t="shared" si="32"/>
        <v>0</v>
      </c>
      <c r="G73" s="2"/>
      <c r="H73" s="7"/>
      <c r="I73" s="2"/>
      <c r="J73" s="6">
        <f t="shared" si="33"/>
        <v>0</v>
      </c>
      <c r="K73" s="2"/>
      <c r="L73" s="7">
        <f t="shared" si="34"/>
        <v>3367.27</v>
      </c>
      <c r="M73" s="2"/>
      <c r="N73" s="6">
        <f t="shared" si="35"/>
        <v>0</v>
      </c>
      <c r="O73" s="11"/>
      <c r="P73" s="7">
        <v>17421.52</v>
      </c>
      <c r="Q73" s="2"/>
      <c r="R73" s="6">
        <f t="shared" si="36"/>
        <v>0</v>
      </c>
      <c r="S73" s="2"/>
      <c r="T73" s="7"/>
      <c r="U73" s="2"/>
      <c r="V73" s="6">
        <f t="shared" si="37"/>
        <v>0</v>
      </c>
      <c r="W73" s="2"/>
      <c r="X73" s="7">
        <f t="shared" si="38"/>
        <v>17421.52</v>
      </c>
      <c r="Y73" s="2"/>
      <c r="Z73" s="6">
        <f t="shared" si="39"/>
        <v>0</v>
      </c>
    </row>
    <row r="74" spans="1:26" s="28" customFormat="1" outlineLevel="1" collapsed="1" x14ac:dyDescent="0.25">
      <c r="A74" s="27"/>
      <c r="B74" s="14" t="str">
        <f>CONCATENATE("     ","Subscriptions &amp; Dues                              ")</f>
        <v xml:space="preserve">     Subscriptions &amp; Dues                              </v>
      </c>
      <c r="C74" s="14"/>
      <c r="D74" s="1">
        <f>SUM(OSRRefD22_16x_0)</f>
        <v>-120</v>
      </c>
      <c r="E74" s="1"/>
      <c r="F74" s="5">
        <f t="shared" ref="F74:F82" si="40">IF(D$12=0,0,D74/D$12)</f>
        <v>0</v>
      </c>
      <c r="G74" s="1"/>
      <c r="H74" s="1">
        <f>SUM(OSRRefH22_16x_0)</f>
        <v>0</v>
      </c>
      <c r="I74" s="1"/>
      <c r="J74" s="5">
        <f t="shared" ref="J74:J82" si="41">IF(H$12=0,0,H74/H$12)</f>
        <v>0</v>
      </c>
      <c r="K74" s="1"/>
      <c r="L74" s="1">
        <f t="shared" ref="L74:L82" si="42">+D74-H74</f>
        <v>-120</v>
      </c>
      <c r="M74" s="1"/>
      <c r="N74" s="5">
        <f t="shared" ref="N74:N82" si="43">IF(H74=0,0,L74/H74)</f>
        <v>0</v>
      </c>
      <c r="O74" s="14"/>
      <c r="P74" s="1">
        <f>SUM(OSRRefP22_16x_0)</f>
        <v>-120</v>
      </c>
      <c r="Q74" s="1"/>
      <c r="R74" s="5">
        <f t="shared" ref="R74:R82" si="44">IF(P$12=0,0,P74/P$12)</f>
        <v>0</v>
      </c>
      <c r="S74" s="1"/>
      <c r="T74" s="1">
        <f>SUM(OSRRefT22_16x_0)</f>
        <v>1000</v>
      </c>
      <c r="U74" s="1"/>
      <c r="V74" s="5">
        <f t="shared" ref="V74:V82" si="45">IF(T$12=0,0,T74/T$12)</f>
        <v>0</v>
      </c>
      <c r="W74" s="1"/>
      <c r="X74" s="1">
        <f t="shared" ref="X74:X82" si="46">+P74-T74</f>
        <v>-1120</v>
      </c>
      <c r="Y74" s="1"/>
      <c r="Z74" s="5">
        <f t="shared" ref="Z74:Z82" si="47">IF(T74=0,0,X74/T74)</f>
        <v>-1.1200000000000001</v>
      </c>
    </row>
    <row r="75" spans="1:26" s="24" customFormat="1" hidden="1" outlineLevel="2" x14ac:dyDescent="0.25">
      <c r="A75" s="29"/>
      <c r="B75" s="11" t="str">
        <f>CONCATENATE("          ", "6258", " - ", "MEMBERSHIP DUES")</f>
        <v xml:space="preserve">          6258 - MEMBERSHIP DUES</v>
      </c>
      <c r="C75" s="11"/>
      <c r="D75" s="7">
        <v>-120</v>
      </c>
      <c r="E75" s="2"/>
      <c r="F75" s="6">
        <f t="shared" si="40"/>
        <v>0</v>
      </c>
      <c r="G75" s="2"/>
      <c r="H75" s="7"/>
      <c r="I75" s="2"/>
      <c r="J75" s="6">
        <f t="shared" si="41"/>
        <v>0</v>
      </c>
      <c r="K75" s="2"/>
      <c r="L75" s="7">
        <f t="shared" si="42"/>
        <v>-120</v>
      </c>
      <c r="M75" s="2"/>
      <c r="N75" s="6">
        <f t="shared" si="43"/>
        <v>0</v>
      </c>
      <c r="O75" s="11"/>
      <c r="P75" s="7">
        <v>-120</v>
      </c>
      <c r="Q75" s="2"/>
      <c r="R75" s="6">
        <f t="shared" si="44"/>
        <v>0</v>
      </c>
      <c r="S75" s="2"/>
      <c r="T75" s="7">
        <v>1000</v>
      </c>
      <c r="U75" s="2"/>
      <c r="V75" s="6">
        <f t="shared" si="45"/>
        <v>0</v>
      </c>
      <c r="W75" s="2"/>
      <c r="X75" s="7">
        <f t="shared" si="46"/>
        <v>-1120</v>
      </c>
      <c r="Y75" s="2"/>
      <c r="Z75" s="6">
        <f t="shared" si="47"/>
        <v>-1.1200000000000001</v>
      </c>
    </row>
    <row r="76" spans="1:26" s="28" customFormat="1" outlineLevel="1" collapsed="1" x14ac:dyDescent="0.25">
      <c r="A76" s="27"/>
      <c r="B76" s="14" t="str">
        <f>CONCATENATE("     ","Supplies                                          ")</f>
        <v xml:space="preserve">     Supplies                                          </v>
      </c>
      <c r="C76" s="14"/>
      <c r="D76" s="1">
        <f>SUM(OSRRefD22_17x_0)</f>
        <v>1990.44</v>
      </c>
      <c r="E76" s="1"/>
      <c r="F76" s="5">
        <f t="shared" si="40"/>
        <v>0</v>
      </c>
      <c r="G76" s="1"/>
      <c r="H76" s="1">
        <f>SUM(OSRRefH22_17x_0)</f>
        <v>5500</v>
      </c>
      <c r="I76" s="1"/>
      <c r="J76" s="5">
        <f t="shared" si="41"/>
        <v>0</v>
      </c>
      <c r="K76" s="1"/>
      <c r="L76" s="1">
        <f t="shared" si="42"/>
        <v>-3509.56</v>
      </c>
      <c r="M76" s="1"/>
      <c r="N76" s="5">
        <f t="shared" si="43"/>
        <v>-0.63810181818181821</v>
      </c>
      <c r="O76" s="14"/>
      <c r="P76" s="1">
        <f>SUM(OSRRefP22_17x_0)</f>
        <v>7444.8099999999995</v>
      </c>
      <c r="Q76" s="1"/>
      <c r="R76" s="5">
        <f t="shared" si="44"/>
        <v>0</v>
      </c>
      <c r="S76" s="1"/>
      <c r="T76" s="1">
        <f>SUM(OSRRefT22_17x_0)</f>
        <v>15900</v>
      </c>
      <c r="U76" s="1"/>
      <c r="V76" s="5">
        <f t="shared" si="45"/>
        <v>0</v>
      </c>
      <c r="W76" s="1"/>
      <c r="X76" s="1">
        <f t="shared" si="46"/>
        <v>-8455.19</v>
      </c>
      <c r="Y76" s="1"/>
      <c r="Z76" s="5">
        <f t="shared" si="47"/>
        <v>-0.53177295597484275</v>
      </c>
    </row>
    <row r="77" spans="1:26" s="24" customFormat="1" hidden="1" outlineLevel="2" x14ac:dyDescent="0.25">
      <c r="A77" s="29"/>
      <c r="B77" s="11" t="str">
        <f>CONCATENATE("          ", "6234", " - ", "EXPENDABLE SUPPLIES &amp; EQUIPMEN")</f>
        <v xml:space="preserve">          6234 - EXPENDABLE SUPPLIES &amp; EQUIPMEN</v>
      </c>
      <c r="C77" s="11"/>
      <c r="D77" s="7"/>
      <c r="E77" s="2"/>
      <c r="F77" s="6">
        <f t="shared" si="40"/>
        <v>0</v>
      </c>
      <c r="G77" s="2"/>
      <c r="H77" s="7">
        <v>300</v>
      </c>
      <c r="I77" s="2"/>
      <c r="J77" s="6">
        <f t="shared" si="41"/>
        <v>0</v>
      </c>
      <c r="K77" s="2"/>
      <c r="L77" s="7">
        <f t="shared" si="42"/>
        <v>-300</v>
      </c>
      <c r="M77" s="2"/>
      <c r="N77" s="6">
        <f t="shared" si="43"/>
        <v>-1</v>
      </c>
      <c r="O77" s="11"/>
      <c r="P77" s="7"/>
      <c r="Q77" s="2"/>
      <c r="R77" s="6">
        <f t="shared" si="44"/>
        <v>0</v>
      </c>
      <c r="S77" s="2"/>
      <c r="T77" s="7">
        <v>300</v>
      </c>
      <c r="U77" s="2"/>
      <c r="V77" s="6">
        <f t="shared" si="45"/>
        <v>0</v>
      </c>
      <c r="W77" s="2"/>
      <c r="X77" s="7">
        <f t="shared" si="46"/>
        <v>-300</v>
      </c>
      <c r="Y77" s="2"/>
      <c r="Z77" s="6">
        <f t="shared" si="47"/>
        <v>-1</v>
      </c>
    </row>
    <row r="78" spans="1:26" s="24" customFormat="1" hidden="1" outlineLevel="2" x14ac:dyDescent="0.25">
      <c r="A78" s="29"/>
      <c r="B78" s="11" t="str">
        <f>CONCATENATE("          ", "6235", " - ", "COVID-19 EXPENSES")</f>
        <v xml:space="preserve">          6235 - COVID-19 EXPENSES</v>
      </c>
      <c r="C78" s="11"/>
      <c r="D78" s="7">
        <v>462.49</v>
      </c>
      <c r="E78" s="2"/>
      <c r="F78" s="6">
        <f t="shared" si="40"/>
        <v>0</v>
      </c>
      <c r="G78" s="2"/>
      <c r="H78" s="7">
        <v>100</v>
      </c>
      <c r="I78" s="2"/>
      <c r="J78" s="6">
        <f t="shared" si="41"/>
        <v>0</v>
      </c>
      <c r="K78" s="2"/>
      <c r="L78" s="7">
        <f t="shared" si="42"/>
        <v>362.49</v>
      </c>
      <c r="M78" s="2"/>
      <c r="N78" s="6">
        <f t="shared" si="43"/>
        <v>3.6249000000000002</v>
      </c>
      <c r="O78" s="11"/>
      <c r="P78" s="7">
        <v>3430.32</v>
      </c>
      <c r="Q78" s="2"/>
      <c r="R78" s="6">
        <f t="shared" si="44"/>
        <v>0</v>
      </c>
      <c r="S78" s="2"/>
      <c r="T78" s="7">
        <v>300</v>
      </c>
      <c r="U78" s="2"/>
      <c r="V78" s="6">
        <f t="shared" si="45"/>
        <v>0</v>
      </c>
      <c r="W78" s="2"/>
      <c r="X78" s="7">
        <f t="shared" si="46"/>
        <v>3130.32</v>
      </c>
      <c r="Y78" s="2"/>
      <c r="Z78" s="6">
        <f t="shared" si="47"/>
        <v>10.4344</v>
      </c>
    </row>
    <row r="79" spans="1:26" s="24" customFormat="1" hidden="1" outlineLevel="2" x14ac:dyDescent="0.25">
      <c r="A79" s="29"/>
      <c r="B79" s="11" t="str">
        <f>CONCATENATE("          ", "6237", " - ", "JANITORIAL SUPPLIES")</f>
        <v xml:space="preserve">          6237 - JANITORIAL SUPPLIES</v>
      </c>
      <c r="C79" s="11"/>
      <c r="D79" s="7">
        <v>247</v>
      </c>
      <c r="E79" s="2"/>
      <c r="F79" s="6">
        <f t="shared" si="40"/>
        <v>0</v>
      </c>
      <c r="G79" s="2"/>
      <c r="H79" s="7"/>
      <c r="I79" s="2"/>
      <c r="J79" s="6">
        <f t="shared" si="41"/>
        <v>0</v>
      </c>
      <c r="K79" s="2"/>
      <c r="L79" s="7">
        <f t="shared" si="42"/>
        <v>247</v>
      </c>
      <c r="M79" s="2"/>
      <c r="N79" s="6">
        <f t="shared" si="43"/>
        <v>0</v>
      </c>
      <c r="O79" s="11"/>
      <c r="P79" s="7">
        <v>1995.52</v>
      </c>
      <c r="Q79" s="2"/>
      <c r="R79" s="6">
        <f t="shared" si="44"/>
        <v>0</v>
      </c>
      <c r="S79" s="2"/>
      <c r="T79" s="7"/>
      <c r="U79" s="2"/>
      <c r="V79" s="6">
        <f t="shared" si="45"/>
        <v>0</v>
      </c>
      <c r="W79" s="2"/>
      <c r="X79" s="7">
        <f t="shared" si="46"/>
        <v>1995.52</v>
      </c>
      <c r="Y79" s="2"/>
      <c r="Z79" s="6">
        <f t="shared" si="47"/>
        <v>0</v>
      </c>
    </row>
    <row r="80" spans="1:26" s="24" customFormat="1" hidden="1" outlineLevel="2" x14ac:dyDescent="0.25">
      <c r="A80" s="29"/>
      <c r="B80" s="11" t="str">
        <f>CONCATENATE("          ", "6241", " - ", "OFFICE EXPENSE")</f>
        <v xml:space="preserve">          6241 - OFFICE EXPENSE</v>
      </c>
      <c r="C80" s="11"/>
      <c r="D80" s="7"/>
      <c r="E80" s="2"/>
      <c r="F80" s="6">
        <f t="shared" si="40"/>
        <v>0</v>
      </c>
      <c r="G80" s="2"/>
      <c r="H80" s="7">
        <v>100</v>
      </c>
      <c r="I80" s="2"/>
      <c r="J80" s="6">
        <f t="shared" si="41"/>
        <v>0</v>
      </c>
      <c r="K80" s="2"/>
      <c r="L80" s="7">
        <f t="shared" si="42"/>
        <v>-100</v>
      </c>
      <c r="M80" s="2"/>
      <c r="N80" s="6">
        <f t="shared" si="43"/>
        <v>-1</v>
      </c>
      <c r="O80" s="11"/>
      <c r="P80" s="7">
        <v>103.78</v>
      </c>
      <c r="Q80" s="2"/>
      <c r="R80" s="6">
        <f t="shared" si="44"/>
        <v>0</v>
      </c>
      <c r="S80" s="2"/>
      <c r="T80" s="7">
        <v>300</v>
      </c>
      <c r="U80" s="2"/>
      <c r="V80" s="6">
        <f t="shared" si="45"/>
        <v>0</v>
      </c>
      <c r="W80" s="2"/>
      <c r="X80" s="7">
        <f t="shared" si="46"/>
        <v>-196.22</v>
      </c>
      <c r="Y80" s="2"/>
      <c r="Z80" s="6">
        <f t="shared" si="47"/>
        <v>-0.65406666666666669</v>
      </c>
    </row>
    <row r="81" spans="1:26" s="24" customFormat="1" hidden="1" outlineLevel="2" x14ac:dyDescent="0.25">
      <c r="A81" s="29"/>
      <c r="B81" s="11" t="str">
        <f>CONCATENATE("          ", "6245", " - ", "PRINTING")</f>
        <v xml:space="preserve">          6245 - PRINTING</v>
      </c>
      <c r="C81" s="11"/>
      <c r="D81" s="7"/>
      <c r="E81" s="2"/>
      <c r="F81" s="6">
        <f t="shared" si="40"/>
        <v>0</v>
      </c>
      <c r="G81" s="2"/>
      <c r="H81" s="7"/>
      <c r="I81" s="2"/>
      <c r="J81" s="6">
        <f t="shared" si="41"/>
        <v>0</v>
      </c>
      <c r="K81" s="2"/>
      <c r="L81" s="7">
        <f t="shared" si="42"/>
        <v>0</v>
      </c>
      <c r="M81" s="2"/>
      <c r="N81" s="6">
        <f t="shared" si="43"/>
        <v>0</v>
      </c>
      <c r="O81" s="11"/>
      <c r="P81" s="7">
        <v>335.32</v>
      </c>
      <c r="Q81" s="2"/>
      <c r="R81" s="6">
        <f t="shared" si="44"/>
        <v>0</v>
      </c>
      <c r="S81" s="2"/>
      <c r="T81" s="7"/>
      <c r="U81" s="2"/>
      <c r="V81" s="6">
        <f t="shared" si="45"/>
        <v>0</v>
      </c>
      <c r="W81" s="2"/>
      <c r="X81" s="7">
        <f t="shared" si="46"/>
        <v>335.32</v>
      </c>
      <c r="Y81" s="2"/>
      <c r="Z81" s="6">
        <f t="shared" si="47"/>
        <v>0</v>
      </c>
    </row>
    <row r="82" spans="1:26" s="24" customFormat="1" hidden="1" outlineLevel="2" x14ac:dyDescent="0.25">
      <c r="A82" s="29"/>
      <c r="B82" s="11" t="str">
        <f>CONCATENATE("          ", "6247", " - ", "STORE SUPPLIES")</f>
        <v xml:space="preserve">          6247 - STORE SUPPLIES</v>
      </c>
      <c r="C82" s="11"/>
      <c r="D82" s="7">
        <v>1280.95</v>
      </c>
      <c r="E82" s="2"/>
      <c r="F82" s="6">
        <f t="shared" si="40"/>
        <v>0</v>
      </c>
      <c r="G82" s="2"/>
      <c r="H82" s="7">
        <v>5000</v>
      </c>
      <c r="I82" s="2"/>
      <c r="J82" s="6">
        <f t="shared" si="41"/>
        <v>0</v>
      </c>
      <c r="K82" s="2"/>
      <c r="L82" s="7">
        <f t="shared" si="42"/>
        <v>-3719.05</v>
      </c>
      <c r="M82" s="2"/>
      <c r="N82" s="6">
        <f t="shared" si="43"/>
        <v>-0.74381000000000008</v>
      </c>
      <c r="O82" s="11"/>
      <c r="P82" s="7">
        <v>1579.87</v>
      </c>
      <c r="Q82" s="2"/>
      <c r="R82" s="6">
        <f t="shared" si="44"/>
        <v>0</v>
      </c>
      <c r="S82" s="2"/>
      <c r="T82" s="7">
        <v>15000</v>
      </c>
      <c r="U82" s="2"/>
      <c r="V82" s="6">
        <f t="shared" si="45"/>
        <v>0</v>
      </c>
      <c r="W82" s="2"/>
      <c r="X82" s="7">
        <f t="shared" si="46"/>
        <v>-13420.130000000001</v>
      </c>
      <c r="Y82" s="2"/>
      <c r="Z82" s="6">
        <f t="shared" si="47"/>
        <v>-0.89467533333333338</v>
      </c>
    </row>
    <row r="83" spans="1:26" s="28" customFormat="1" outlineLevel="1" collapsed="1" x14ac:dyDescent="0.25">
      <c r="A83" s="27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SUM(OSRRefD22_18x_0)</f>
        <v>594.45000000000005</v>
      </c>
      <c r="E83" s="1"/>
      <c r="F83" s="5">
        <f t="shared" ref="F83:F90" si="48">IF(D$12=0,0,D83/D$12)</f>
        <v>0</v>
      </c>
      <c r="G83" s="1"/>
      <c r="H83" s="1">
        <f>SUM(OSRRefH22_18x_0)</f>
        <v>600</v>
      </c>
      <c r="I83" s="1"/>
      <c r="J83" s="5">
        <f t="shared" ref="J83:J90" si="49">IF(H$12=0,0,H83/H$12)</f>
        <v>0</v>
      </c>
      <c r="K83" s="1"/>
      <c r="L83" s="1">
        <f t="shared" ref="L83:L90" si="50">+D83-H83</f>
        <v>-5.5499999999999545</v>
      </c>
      <c r="M83" s="1"/>
      <c r="N83" s="5">
        <f t="shared" ref="N83:N90" si="51">IF(H83=0,0,L83/H83)</f>
        <v>-9.2499999999999249E-3</v>
      </c>
      <c r="O83" s="14"/>
      <c r="P83" s="1">
        <f>SUM(OSRRefP22_18x_0)</f>
        <v>1645.3</v>
      </c>
      <c r="Q83" s="1"/>
      <c r="R83" s="5">
        <f t="shared" ref="R83:R90" si="52">IF(P$12=0,0,P83/P$12)</f>
        <v>0</v>
      </c>
      <c r="S83" s="1"/>
      <c r="T83" s="1">
        <f>SUM(OSRRefT22_18x_0)</f>
        <v>1800</v>
      </c>
      <c r="U83" s="1"/>
      <c r="V83" s="5">
        <f t="shared" ref="V83:V90" si="53">IF(T$12=0,0,T83/T$12)</f>
        <v>0</v>
      </c>
      <c r="W83" s="1"/>
      <c r="X83" s="1">
        <f t="shared" ref="X83:X90" si="54">+P83-T83</f>
        <v>-154.70000000000005</v>
      </c>
      <c r="Y83" s="1"/>
      <c r="Z83" s="5">
        <f t="shared" ref="Z83:Z90" si="55">IF(T83=0,0,X83/T83)</f>
        <v>-8.5944444444444476E-2</v>
      </c>
    </row>
    <row r="84" spans="1:26" s="24" customFormat="1" hidden="1" outlineLevel="2" x14ac:dyDescent="0.25">
      <c r="A84" s="29"/>
      <c r="B84" s="11" t="str">
        <f>CONCATENATE("          ", "6309", " - ", "TELEPHONE")</f>
        <v xml:space="preserve">          6309 - TELEPHONE</v>
      </c>
      <c r="C84" s="11"/>
      <c r="D84" s="7">
        <v>594.45000000000005</v>
      </c>
      <c r="E84" s="2"/>
      <c r="F84" s="6">
        <f t="shared" si="48"/>
        <v>0</v>
      </c>
      <c r="G84" s="2"/>
      <c r="H84" s="7">
        <v>600</v>
      </c>
      <c r="I84" s="2"/>
      <c r="J84" s="6">
        <f t="shared" si="49"/>
        <v>0</v>
      </c>
      <c r="K84" s="2"/>
      <c r="L84" s="7">
        <f t="shared" si="50"/>
        <v>-5.5499999999999545</v>
      </c>
      <c r="M84" s="2"/>
      <c r="N84" s="6">
        <f t="shared" si="51"/>
        <v>-9.2499999999999249E-3</v>
      </c>
      <c r="O84" s="11"/>
      <c r="P84" s="7">
        <v>1645.3</v>
      </c>
      <c r="Q84" s="2"/>
      <c r="R84" s="6">
        <f t="shared" si="52"/>
        <v>0</v>
      </c>
      <c r="S84" s="2"/>
      <c r="T84" s="7">
        <v>1800</v>
      </c>
      <c r="U84" s="2"/>
      <c r="V84" s="6">
        <f t="shared" si="53"/>
        <v>0</v>
      </c>
      <c r="W84" s="2"/>
      <c r="X84" s="7">
        <f t="shared" si="54"/>
        <v>-154.70000000000005</v>
      </c>
      <c r="Y84" s="2"/>
      <c r="Z84" s="6">
        <f t="shared" si="55"/>
        <v>-8.5944444444444476E-2</v>
      </c>
    </row>
    <row r="85" spans="1:26" s="28" customFormat="1" outlineLevel="1" collapsed="1" x14ac:dyDescent="0.25">
      <c r="A85" s="27"/>
      <c r="B85" s="14" t="str">
        <f>CONCATENATE("     ","Training                                          ")</f>
        <v xml:space="preserve">     Training                                          </v>
      </c>
      <c r="C85" s="14"/>
      <c r="D85" s="1">
        <f>SUM(OSRRefD22_19x_0)</f>
        <v>595</v>
      </c>
      <c r="E85" s="1"/>
      <c r="F85" s="5">
        <f t="shared" si="48"/>
        <v>0</v>
      </c>
      <c r="G85" s="1"/>
      <c r="H85" s="1">
        <f>SUM(OSRRefH22_19x_0)</f>
        <v>0</v>
      </c>
      <c r="I85" s="1"/>
      <c r="J85" s="5">
        <f t="shared" si="49"/>
        <v>0</v>
      </c>
      <c r="K85" s="1"/>
      <c r="L85" s="1">
        <f t="shared" si="50"/>
        <v>595</v>
      </c>
      <c r="M85" s="1"/>
      <c r="N85" s="5">
        <f t="shared" si="51"/>
        <v>0</v>
      </c>
      <c r="O85" s="14"/>
      <c r="P85" s="1">
        <f>SUM(OSRRefP22_19x_0)</f>
        <v>595</v>
      </c>
      <c r="Q85" s="1"/>
      <c r="R85" s="5">
        <f t="shared" si="52"/>
        <v>0</v>
      </c>
      <c r="S85" s="1"/>
      <c r="T85" s="1">
        <f>SUM(OSRRefT22_19x_0)</f>
        <v>0</v>
      </c>
      <c r="U85" s="1"/>
      <c r="V85" s="5">
        <f t="shared" si="53"/>
        <v>0</v>
      </c>
      <c r="W85" s="1"/>
      <c r="X85" s="1">
        <f t="shared" si="54"/>
        <v>595</v>
      </c>
      <c r="Y85" s="1"/>
      <c r="Z85" s="5">
        <f t="shared" si="55"/>
        <v>0</v>
      </c>
    </row>
    <row r="86" spans="1:26" s="24" customFormat="1" hidden="1" outlineLevel="2" x14ac:dyDescent="0.25">
      <c r="A86" s="29"/>
      <c r="B86" s="11" t="str">
        <f>CONCATENATE("          ", "6376", " - ", "TRAINING")</f>
        <v xml:space="preserve">          6376 - TRAINING</v>
      </c>
      <c r="C86" s="11"/>
      <c r="D86" s="7">
        <v>595</v>
      </c>
      <c r="E86" s="2"/>
      <c r="F86" s="6">
        <f t="shared" si="48"/>
        <v>0</v>
      </c>
      <c r="G86" s="2"/>
      <c r="H86" s="7"/>
      <c r="I86" s="2"/>
      <c r="J86" s="6">
        <f t="shared" si="49"/>
        <v>0</v>
      </c>
      <c r="K86" s="2"/>
      <c r="L86" s="7">
        <f t="shared" si="50"/>
        <v>595</v>
      </c>
      <c r="M86" s="2"/>
      <c r="N86" s="6">
        <f t="shared" si="51"/>
        <v>0</v>
      </c>
      <c r="O86" s="11"/>
      <c r="P86" s="7">
        <v>595</v>
      </c>
      <c r="Q86" s="2"/>
      <c r="R86" s="6">
        <f t="shared" si="52"/>
        <v>0</v>
      </c>
      <c r="S86" s="2"/>
      <c r="T86" s="7"/>
      <c r="U86" s="2"/>
      <c r="V86" s="6">
        <f t="shared" si="53"/>
        <v>0</v>
      </c>
      <c r="W86" s="2"/>
      <c r="X86" s="7">
        <f t="shared" si="54"/>
        <v>595</v>
      </c>
      <c r="Y86" s="2"/>
      <c r="Z86" s="6">
        <f t="shared" si="55"/>
        <v>0</v>
      </c>
    </row>
    <row r="87" spans="1:26" s="28" customFormat="1" outlineLevel="1" collapsed="1" x14ac:dyDescent="0.25">
      <c r="A87" s="27"/>
      <c r="B87" s="14" t="str">
        <f>CONCATENATE("     ","Travel                                            ")</f>
        <v xml:space="preserve">     Travel                                            </v>
      </c>
      <c r="C87" s="14"/>
      <c r="D87" s="1">
        <f>SUM(OSRRefD22_20x_0)</f>
        <v>0</v>
      </c>
      <c r="E87" s="1"/>
      <c r="F87" s="5">
        <f t="shared" si="48"/>
        <v>0</v>
      </c>
      <c r="G87" s="1"/>
      <c r="H87" s="1">
        <f>SUM(OSRRefH22_20x_0)</f>
        <v>125</v>
      </c>
      <c r="I87" s="1"/>
      <c r="J87" s="5">
        <f t="shared" si="49"/>
        <v>0</v>
      </c>
      <c r="K87" s="1"/>
      <c r="L87" s="1">
        <f t="shared" si="50"/>
        <v>-125</v>
      </c>
      <c r="M87" s="1"/>
      <c r="N87" s="5">
        <f t="shared" si="51"/>
        <v>-1</v>
      </c>
      <c r="O87" s="14"/>
      <c r="P87" s="1">
        <f>SUM(OSRRefP22_20x_0)</f>
        <v>495</v>
      </c>
      <c r="Q87" s="1"/>
      <c r="R87" s="5">
        <f t="shared" si="52"/>
        <v>0</v>
      </c>
      <c r="S87" s="1"/>
      <c r="T87" s="1">
        <f>SUM(OSRRefT22_20x_0)</f>
        <v>375</v>
      </c>
      <c r="U87" s="1"/>
      <c r="V87" s="5">
        <f t="shared" si="53"/>
        <v>0</v>
      </c>
      <c r="W87" s="1"/>
      <c r="X87" s="1">
        <f t="shared" si="54"/>
        <v>120</v>
      </c>
      <c r="Y87" s="1"/>
      <c r="Z87" s="5">
        <f t="shared" si="55"/>
        <v>0.32</v>
      </c>
    </row>
    <row r="88" spans="1:26" s="24" customFormat="1" hidden="1" outlineLevel="2" x14ac:dyDescent="0.25">
      <c r="A88" s="29"/>
      <c r="B88" s="11" t="str">
        <f>CONCATENATE("          ", "6292", " - ", "TRAVEL/CONFERENCE")</f>
        <v xml:space="preserve">          6292 - TRAVEL/CONFERENCE</v>
      </c>
      <c r="C88" s="11"/>
      <c r="D88" s="7"/>
      <c r="E88" s="2"/>
      <c r="F88" s="6">
        <f t="shared" si="48"/>
        <v>0</v>
      </c>
      <c r="G88" s="2"/>
      <c r="H88" s="7">
        <v>125</v>
      </c>
      <c r="I88" s="2"/>
      <c r="J88" s="6">
        <f t="shared" si="49"/>
        <v>0</v>
      </c>
      <c r="K88" s="2"/>
      <c r="L88" s="7">
        <f t="shared" si="50"/>
        <v>-125</v>
      </c>
      <c r="M88" s="2"/>
      <c r="N88" s="6">
        <f t="shared" si="51"/>
        <v>-1</v>
      </c>
      <c r="O88" s="11"/>
      <c r="P88" s="7">
        <v>495</v>
      </c>
      <c r="Q88" s="2"/>
      <c r="R88" s="6">
        <f t="shared" si="52"/>
        <v>0</v>
      </c>
      <c r="S88" s="2"/>
      <c r="T88" s="7">
        <v>375</v>
      </c>
      <c r="U88" s="2"/>
      <c r="V88" s="6">
        <f t="shared" si="53"/>
        <v>0</v>
      </c>
      <c r="W88" s="2"/>
      <c r="X88" s="7">
        <f t="shared" si="54"/>
        <v>120</v>
      </c>
      <c r="Y88" s="2"/>
      <c r="Z88" s="6">
        <f t="shared" si="55"/>
        <v>0.32</v>
      </c>
    </row>
    <row r="89" spans="1:26" s="28" customFormat="1" outlineLevel="1" collapsed="1" x14ac:dyDescent="0.25">
      <c r="A89" s="27"/>
      <c r="B89" s="14" t="str">
        <f>CONCATENATE("     ","Utilities                                         ")</f>
        <v xml:space="preserve">     Utilities                                         </v>
      </c>
      <c r="C89" s="14"/>
      <c r="D89" s="1">
        <f>SUM(OSRRefD22_21x_0)</f>
        <v>6000</v>
      </c>
      <c r="E89" s="1"/>
      <c r="F89" s="5">
        <f t="shared" si="48"/>
        <v>0</v>
      </c>
      <c r="G89" s="1"/>
      <c r="H89" s="1">
        <f>SUM(OSRRefH22_21x_0)</f>
        <v>6000</v>
      </c>
      <c r="I89" s="1"/>
      <c r="J89" s="5">
        <f t="shared" si="49"/>
        <v>0</v>
      </c>
      <c r="K89" s="1"/>
      <c r="L89" s="1">
        <f t="shared" si="50"/>
        <v>0</v>
      </c>
      <c r="M89" s="1"/>
      <c r="N89" s="5">
        <f t="shared" si="51"/>
        <v>0</v>
      </c>
      <c r="O89" s="14"/>
      <c r="P89" s="1">
        <f>SUM(OSRRefP22_21x_0)</f>
        <v>18000</v>
      </c>
      <c r="Q89" s="1"/>
      <c r="R89" s="5">
        <f t="shared" si="52"/>
        <v>0</v>
      </c>
      <c r="S89" s="1"/>
      <c r="T89" s="1">
        <f>SUM(OSRRefT22_21x_0)</f>
        <v>18000</v>
      </c>
      <c r="U89" s="1"/>
      <c r="V89" s="5">
        <f t="shared" si="53"/>
        <v>0</v>
      </c>
      <c r="W89" s="1"/>
      <c r="X89" s="1">
        <f t="shared" si="54"/>
        <v>0</v>
      </c>
      <c r="Y89" s="1"/>
      <c r="Z89" s="5">
        <f t="shared" si="55"/>
        <v>0</v>
      </c>
    </row>
    <row r="90" spans="1:26" s="24" customFormat="1" hidden="1" outlineLevel="2" x14ac:dyDescent="0.25">
      <c r="A90" s="29"/>
      <c r="B90" s="11" t="str">
        <f>CONCATENATE("          ", "6274", " - ", "UTILITIES")</f>
        <v xml:space="preserve">          6274 - UTILITIES</v>
      </c>
      <c r="C90" s="11"/>
      <c r="D90" s="7">
        <v>6000</v>
      </c>
      <c r="E90" s="2"/>
      <c r="F90" s="6">
        <f t="shared" si="48"/>
        <v>0</v>
      </c>
      <c r="G90" s="2"/>
      <c r="H90" s="7">
        <v>6000</v>
      </c>
      <c r="I90" s="2"/>
      <c r="J90" s="6">
        <f t="shared" si="49"/>
        <v>0</v>
      </c>
      <c r="K90" s="2"/>
      <c r="L90" s="7">
        <f t="shared" si="50"/>
        <v>0</v>
      </c>
      <c r="M90" s="2"/>
      <c r="N90" s="6">
        <f t="shared" si="51"/>
        <v>0</v>
      </c>
      <c r="O90" s="11"/>
      <c r="P90" s="7">
        <v>18000</v>
      </c>
      <c r="Q90" s="2"/>
      <c r="R90" s="6">
        <f t="shared" si="52"/>
        <v>0</v>
      </c>
      <c r="S90" s="2"/>
      <c r="T90" s="7">
        <v>18000</v>
      </c>
      <c r="U90" s="2"/>
      <c r="V90" s="6">
        <f t="shared" si="53"/>
        <v>0</v>
      </c>
      <c r="W90" s="2"/>
      <c r="X90" s="7">
        <f t="shared" si="54"/>
        <v>0</v>
      </c>
      <c r="Y90" s="2"/>
      <c r="Z90" s="6">
        <f t="shared" si="55"/>
        <v>0</v>
      </c>
    </row>
    <row r="91" spans="1:26" s="58" customFormat="1" x14ac:dyDescent="0.25">
      <c r="A91" s="36"/>
      <c r="B91" s="36"/>
      <c r="C91" s="36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6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3" customFormat="1" collapsed="1" x14ac:dyDescent="0.25">
      <c r="A92" s="10"/>
      <c r="B92" s="26" t="s">
        <v>293</v>
      </c>
      <c r="C92" s="10"/>
      <c r="D92" s="4">
        <f>SUM(OSRRefD25x_0)</f>
        <v>5282.59</v>
      </c>
      <c r="E92" s="4"/>
      <c r="F92" s="12">
        <f t="shared" ref="F92:F94" si="56">IF(D$12=0,0,D92/D$12)</f>
        <v>0</v>
      </c>
      <c r="G92" s="4"/>
      <c r="H92" s="4">
        <f>SUM(OSRRefH25x_0)</f>
        <v>1200</v>
      </c>
      <c r="I92" s="4"/>
      <c r="J92" s="12">
        <f t="shared" ref="J92:J94" si="57">IF(H$12=0,0,H92/H$12)</f>
        <v>0</v>
      </c>
      <c r="K92" s="4"/>
      <c r="L92" s="4">
        <f t="shared" ref="L92:L94" si="58">+D92-H92</f>
        <v>4082.59</v>
      </c>
      <c r="M92" s="4"/>
      <c r="N92" s="12">
        <f t="shared" ref="N92:N94" si="59">IF(H92=0,0,L92/H92)</f>
        <v>3.4021583333333334</v>
      </c>
      <c r="O92" s="10"/>
      <c r="P92" s="4">
        <f>SUM(OSRRefP25x_0)</f>
        <v>68231.48</v>
      </c>
      <c r="Q92" s="4"/>
      <c r="R92" s="12">
        <f t="shared" ref="R92:R94" si="60">IF(P$12=0,0,P92/P$12)</f>
        <v>0</v>
      </c>
      <c r="S92" s="4"/>
      <c r="T92" s="4">
        <f>SUM(OSRRefT25x_0)</f>
        <v>46600</v>
      </c>
      <c r="U92" s="4"/>
      <c r="V92" s="12">
        <f t="shared" ref="V92:V94" si="61">IF(T$12=0,0,T92/T$12)</f>
        <v>0</v>
      </c>
      <c r="W92" s="4"/>
      <c r="X92" s="4">
        <f t="shared" ref="X92:X94" si="62">+P92-T92</f>
        <v>21631.479999999996</v>
      </c>
      <c r="Y92" s="4"/>
      <c r="Z92" s="12">
        <f t="shared" ref="Z92:Z94" si="63">IF(T92=0,0,X92/T92)</f>
        <v>0.46419484978540765</v>
      </c>
    </row>
    <row r="93" spans="1:26" s="24" customFormat="1" hidden="1" outlineLevel="1" x14ac:dyDescent="0.25">
      <c r="A93" s="44"/>
      <c r="B93" s="11" t="str">
        <f>CONCATENATE("          ", "9150", " - ", "MISC. INCOME")</f>
        <v xml:space="preserve">          9150 - MISC. INCOME</v>
      </c>
      <c r="C93" s="11"/>
      <c r="D93" s="2">
        <f>--5282.59</f>
        <v>5282.59</v>
      </c>
      <c r="E93" s="2"/>
      <c r="F93" s="19">
        <f t="shared" si="56"/>
        <v>0</v>
      </c>
      <c r="G93" s="2"/>
      <c r="H93" s="2">
        <v>1200</v>
      </c>
      <c r="I93" s="2"/>
      <c r="J93" s="19">
        <f t="shared" si="57"/>
        <v>0</v>
      </c>
      <c r="K93" s="2"/>
      <c r="L93" s="2">
        <f t="shared" si="58"/>
        <v>4082.59</v>
      </c>
      <c r="M93" s="2"/>
      <c r="N93" s="19">
        <f t="shared" si="59"/>
        <v>3.4021583333333334</v>
      </c>
      <c r="O93" s="11"/>
      <c r="P93" s="2">
        <f>--68231.48</f>
        <v>68231.48</v>
      </c>
      <c r="Q93" s="2"/>
      <c r="R93" s="19">
        <f t="shared" si="60"/>
        <v>0</v>
      </c>
      <c r="S93" s="2"/>
      <c r="T93" s="2">
        <v>3600</v>
      </c>
      <c r="U93" s="2"/>
      <c r="V93" s="19">
        <f t="shared" si="61"/>
        <v>0</v>
      </c>
      <c r="W93" s="2"/>
      <c r="X93" s="2">
        <f t="shared" si="62"/>
        <v>64631.479999999996</v>
      </c>
      <c r="Y93" s="2"/>
      <c r="Z93" s="19">
        <f t="shared" si="63"/>
        <v>17.953188888888889</v>
      </c>
    </row>
    <row r="94" spans="1:26" s="24" customFormat="1" hidden="1" outlineLevel="1" x14ac:dyDescent="0.25">
      <c r="A94" s="44"/>
      <c r="B94" s="11" t="str">
        <f>CONCATENATE("          ", "9151", " - ", "MISC. INCOME")</f>
        <v xml:space="preserve">          9151 - MISC. INCOME</v>
      </c>
      <c r="C94" s="11"/>
      <c r="D94" s="2">
        <f>0</f>
        <v>0</v>
      </c>
      <c r="E94" s="2"/>
      <c r="F94" s="19">
        <f t="shared" si="56"/>
        <v>0</v>
      </c>
      <c r="G94" s="2"/>
      <c r="H94" s="2"/>
      <c r="I94" s="2"/>
      <c r="J94" s="19">
        <f t="shared" si="57"/>
        <v>0</v>
      </c>
      <c r="K94" s="2"/>
      <c r="L94" s="2">
        <f t="shared" si="58"/>
        <v>0</v>
      </c>
      <c r="M94" s="2"/>
      <c r="N94" s="19">
        <f t="shared" si="59"/>
        <v>0</v>
      </c>
      <c r="O94" s="11"/>
      <c r="P94" s="2">
        <f>0</f>
        <v>0</v>
      </c>
      <c r="Q94" s="2"/>
      <c r="R94" s="19">
        <f t="shared" si="60"/>
        <v>0</v>
      </c>
      <c r="S94" s="2"/>
      <c r="T94" s="2">
        <v>43000</v>
      </c>
      <c r="U94" s="2"/>
      <c r="V94" s="19">
        <f t="shared" si="61"/>
        <v>0</v>
      </c>
      <c r="W94" s="2"/>
      <c r="X94" s="2">
        <f t="shared" si="62"/>
        <v>-43000</v>
      </c>
      <c r="Y94" s="2"/>
      <c r="Z94" s="19">
        <f t="shared" si="63"/>
        <v>-1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10"/>
      <c r="B96" s="25" t="s">
        <v>277</v>
      </c>
      <c r="C96" s="25"/>
      <c r="D96" s="21">
        <f>+D16-D18+D92</f>
        <v>-122773.22000000002</v>
      </c>
      <c r="E96" s="13"/>
      <c r="F96" s="20">
        <f>IF(D$12=0,0,D96/D$12)</f>
        <v>0</v>
      </c>
      <c r="G96" s="13"/>
      <c r="H96" s="21">
        <f>+H16-H18+H92</f>
        <v>-126905.76734830769</v>
      </c>
      <c r="I96" s="13"/>
      <c r="J96" s="20">
        <f>IF(H$12=0,0,H96/H$12)</f>
        <v>0</v>
      </c>
      <c r="K96" s="16"/>
      <c r="L96" s="21">
        <f>+D96-H96</f>
        <v>4132.5473483076785</v>
      </c>
      <c r="M96" s="16"/>
      <c r="N96" s="20">
        <f>IF(H96=0,0,L96/H96)</f>
        <v>-3.2563904971831738E-2</v>
      </c>
      <c r="O96" s="26"/>
      <c r="P96" s="21">
        <f>+P16-P18+P92</f>
        <v>-406152.74000000005</v>
      </c>
      <c r="Q96" s="13"/>
      <c r="R96" s="20">
        <f>IF(P$12=0,0,P96/P$12)</f>
        <v>0</v>
      </c>
      <c r="S96" s="13"/>
      <c r="T96" s="21">
        <f>+T16-T18+T92</f>
        <v>-436567.93149700004</v>
      </c>
      <c r="U96" s="13"/>
      <c r="V96" s="20">
        <f>IF(T$12=0,0,T96/T$12)</f>
        <v>0</v>
      </c>
      <c r="W96" s="16"/>
      <c r="X96" s="21">
        <f>+P96-T96</f>
        <v>30415.191496999993</v>
      </c>
      <c r="Y96" s="16"/>
      <c r="Z96" s="20">
        <f>IF(T96=0,0,X96/T96)</f>
        <v>-6.9668863200065337E-2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52"/>
      <c r="B98" s="10" t="s">
        <v>128</v>
      </c>
      <c r="C98" s="10"/>
      <c r="D98" s="4"/>
      <c r="E98" s="4"/>
      <c r="F98" s="12">
        <f>IF(D$12=0,0,D98/D$12)</f>
        <v>0</v>
      </c>
      <c r="G98" s="4"/>
      <c r="H98" s="4"/>
      <c r="I98" s="4"/>
      <c r="J98" s="12">
        <f>IF(H$12=0,0,H98/H$12)</f>
        <v>0</v>
      </c>
      <c r="K98" s="4"/>
      <c r="L98" s="4">
        <f>+D98-H98</f>
        <v>0</v>
      </c>
      <c r="M98" s="4"/>
      <c r="N98" s="12">
        <f>IF(H98=0,0,L98/H98)</f>
        <v>0</v>
      </c>
      <c r="O98" s="10"/>
      <c r="P98" s="4"/>
      <c r="Q98" s="4"/>
      <c r="R98" s="12">
        <f>IF(P$12=0,0,P98/P$12)</f>
        <v>0</v>
      </c>
      <c r="S98" s="4"/>
      <c r="T98" s="4"/>
      <c r="U98" s="4"/>
      <c r="V98" s="12">
        <f>IF(T$12=0,0,T98/T$12)</f>
        <v>0</v>
      </c>
      <c r="W98" s="4"/>
      <c r="X98" s="4">
        <f>+P98-T98</f>
        <v>0</v>
      </c>
      <c r="Y98" s="4"/>
      <c r="Z98" s="12">
        <f>IF(T98=0,0,X98/T98)</f>
        <v>0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5" t="s">
        <v>126</v>
      </c>
      <c r="C100" s="25"/>
      <c r="D100" s="33">
        <f>+D96-D98</f>
        <v>-122773.22000000002</v>
      </c>
      <c r="E100" s="13"/>
      <c r="F100" s="31">
        <f>IF(D$12=0,0,D100/D$12)</f>
        <v>0</v>
      </c>
      <c r="G100" s="13"/>
      <c r="H100" s="33">
        <f>+H96-H98</f>
        <v>-126905.76734830769</v>
      </c>
      <c r="I100" s="13"/>
      <c r="J100" s="31">
        <f>IF(H$12=0,0,H100/H$12)</f>
        <v>0</v>
      </c>
      <c r="K100" s="16"/>
      <c r="L100" s="33">
        <f>D100-H100</f>
        <v>4132.5473483076785</v>
      </c>
      <c r="M100" s="16"/>
      <c r="N100" s="31">
        <f>IF(H100=0,0,L100/H100)</f>
        <v>-3.2563904971831738E-2</v>
      </c>
      <c r="O100" s="26"/>
      <c r="P100" s="33">
        <f>+P96-P98</f>
        <v>-406152.74000000005</v>
      </c>
      <c r="Q100" s="13"/>
      <c r="R100" s="31">
        <f>IF(P$12=0,0,P100/P$12)</f>
        <v>0</v>
      </c>
      <c r="S100" s="13"/>
      <c r="T100" s="33">
        <f>+T96-T98</f>
        <v>-436567.93149700004</v>
      </c>
      <c r="U100" s="13"/>
      <c r="V100" s="31">
        <f>IF(T$12=0,0,T100/T$12)</f>
        <v>0</v>
      </c>
      <c r="W100" s="16"/>
      <c r="X100" s="33">
        <f>P100-T100</f>
        <v>30415.191496999993</v>
      </c>
      <c r="Y100" s="16"/>
      <c r="Z100" s="31">
        <f>IF(T100=0,0,X100/T100)</f>
        <v>-6.9668863200065337E-2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5" t="s">
        <v>294</v>
      </c>
      <c r="C103" s="25"/>
      <c r="D103" s="35">
        <f>SUM(D100:D102)</f>
        <v>-122773.22000000002</v>
      </c>
      <c r="E103" s="13"/>
      <c r="F103" s="34">
        <f>IF(D$12=0,0,D103/D$12)</f>
        <v>0</v>
      </c>
      <c r="G103" s="13"/>
      <c r="H103" s="35">
        <f>SUM(H100:H102)</f>
        <v>-126905.76734830769</v>
      </c>
      <c r="I103" s="13"/>
      <c r="J103" s="34">
        <f>IF(H$12=0,0,H103/H$12)</f>
        <v>0</v>
      </c>
      <c r="K103" s="16"/>
      <c r="L103" s="35">
        <f>+D103-H103</f>
        <v>4132.5473483076785</v>
      </c>
      <c r="M103" s="16"/>
      <c r="N103" s="34">
        <f>IF(H103=0,0,L103/H103)</f>
        <v>-3.2563904971831738E-2</v>
      </c>
      <c r="O103" s="26"/>
      <c r="P103" s="35">
        <f>SUM(P100:P102)</f>
        <v>-406152.74000000005</v>
      </c>
      <c r="Q103" s="13"/>
      <c r="R103" s="34">
        <f>IF(P$12=0,0,P103/P$12)</f>
        <v>0</v>
      </c>
      <c r="S103" s="13"/>
      <c r="T103" s="35">
        <f>SUM(T100:T102)</f>
        <v>-436567.93149700004</v>
      </c>
      <c r="U103" s="13"/>
      <c r="V103" s="34">
        <f>IF(T$12=0,0,T103/T$12)</f>
        <v>0</v>
      </c>
      <c r="W103" s="16"/>
      <c r="X103" s="35">
        <f>+P103-T103</f>
        <v>30415.191496999993</v>
      </c>
      <c r="Y103" s="16"/>
      <c r="Z103" s="34">
        <f>IF(T103=0,0,X103/T103)</f>
        <v>-6.9668863200065337E-2</v>
      </c>
    </row>
    <row r="104" spans="1:26" ht="15.75" thickTop="1" x14ac:dyDescent="0.25">
      <c r="A104" s="9"/>
      <c r="C104" s="9"/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A105" s="9"/>
      <c r="B105" s="61">
        <v>44481.978956793981</v>
      </c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56" t="s">
        <v>56</v>
      </c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A107" s="9"/>
      <c r="B107" s="54"/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outlinePr summaryBelow="0" summaryRight="0"/>
  </sheetPr>
  <dimension ref="A2:Z9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81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25660.770000000004</v>
      </c>
      <c r="E12" s="4"/>
      <c r="F12" s="12"/>
      <c r="G12" s="4"/>
      <c r="H12" s="4">
        <f>SUM(OSRRefH13x_0)</f>
        <v>75205</v>
      </c>
      <c r="I12" s="4"/>
      <c r="J12" s="12"/>
      <c r="K12" s="4"/>
      <c r="L12" s="4">
        <f t="shared" ref="L12:L15" si="0">+D12-H12</f>
        <v>-49544.229999999996</v>
      </c>
      <c r="M12" s="4"/>
      <c r="N12" s="12">
        <f t="shared" ref="N12:N15" si="1">IF(H12=0,0,L12/H12)</f>
        <v>-0.65878904328169663</v>
      </c>
      <c r="O12" s="10"/>
      <c r="P12" s="4">
        <f>SUM(OSRRefP13x_0)</f>
        <v>42175.310000000005</v>
      </c>
      <c r="Q12" s="4"/>
      <c r="R12" s="12"/>
      <c r="S12" s="4"/>
      <c r="T12" s="4">
        <f>SUM(OSRRefT13x_0)</f>
        <v>129547</v>
      </c>
      <c r="U12" s="4"/>
      <c r="V12" s="12"/>
      <c r="W12" s="4"/>
      <c r="X12" s="4">
        <f t="shared" ref="X12:X15" si="2">+P12-T12</f>
        <v>-87371.69</v>
      </c>
      <c r="Y12" s="4"/>
      <c r="Z12" s="12">
        <f t="shared" ref="Z12:Z15" si="3">IF(T12=0,0,X12/T12)</f>
        <v>-0.6744400873814137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--19683.79</f>
        <v>19683.79</v>
      </c>
      <c r="E13" s="2"/>
      <c r="F13" s="19"/>
      <c r="G13" s="2"/>
      <c r="H13" s="2">
        <v>50461</v>
      </c>
      <c r="I13" s="2"/>
      <c r="J13" s="19"/>
      <c r="K13" s="2"/>
      <c r="L13" s="2">
        <f t="shared" si="0"/>
        <v>-30777.21</v>
      </c>
      <c r="M13" s="2"/>
      <c r="N13" s="19">
        <f t="shared" si="1"/>
        <v>-0.60992073086145737</v>
      </c>
      <c r="O13" s="11"/>
      <c r="P13" s="2">
        <f>--34836.37</f>
        <v>34836.370000000003</v>
      </c>
      <c r="Q13" s="2"/>
      <c r="R13" s="19"/>
      <c r="S13" s="2"/>
      <c r="T13" s="2">
        <v>98434</v>
      </c>
      <c r="U13" s="2"/>
      <c r="V13" s="19"/>
      <c r="W13" s="2"/>
      <c r="X13" s="2">
        <f t="shared" si="2"/>
        <v>-63597.63</v>
      </c>
      <c r="Y13" s="2"/>
      <c r="Z13" s="19">
        <f t="shared" si="3"/>
        <v>-0.64609413414064243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--6374.4</f>
        <v>6374.4</v>
      </c>
      <c r="E14" s="2"/>
      <c r="F14" s="19"/>
      <c r="G14" s="2"/>
      <c r="H14" s="2">
        <v>24744</v>
      </c>
      <c r="I14" s="2"/>
      <c r="J14" s="19"/>
      <c r="K14" s="2"/>
      <c r="L14" s="2">
        <f t="shared" si="0"/>
        <v>-18369.599999999999</v>
      </c>
      <c r="M14" s="2"/>
      <c r="N14" s="19">
        <f t="shared" si="1"/>
        <v>-0.74238603297769146</v>
      </c>
      <c r="O14" s="11"/>
      <c r="P14" s="2">
        <f>--8002.93</f>
        <v>8002.93</v>
      </c>
      <c r="Q14" s="2"/>
      <c r="R14" s="19"/>
      <c r="S14" s="2"/>
      <c r="T14" s="2">
        <v>31113</v>
      </c>
      <c r="U14" s="2"/>
      <c r="V14" s="19"/>
      <c r="W14" s="2"/>
      <c r="X14" s="2">
        <f t="shared" si="2"/>
        <v>-23110.07</v>
      </c>
      <c r="Y14" s="2"/>
      <c r="Z14" s="19">
        <f t="shared" si="3"/>
        <v>-0.74277858130042107</v>
      </c>
    </row>
    <row r="15" spans="1:26" s="24" customFormat="1" hidden="1" outlineLevel="1" x14ac:dyDescent="0.25">
      <c r="A15" s="44"/>
      <c r="B15" s="11" t="str">
        <f>CONCATENATE("          ", "4200", " - ", "TAXABLE RETURNS")</f>
        <v xml:space="preserve">          4200 - TAXABLE RETURNS</v>
      </c>
      <c r="C15" s="11"/>
      <c r="D15" s="2">
        <f>-397.42</f>
        <v>-397.42</v>
      </c>
      <c r="E15" s="2"/>
      <c r="F15" s="19"/>
      <c r="G15" s="2"/>
      <c r="H15" s="2"/>
      <c r="I15" s="2"/>
      <c r="J15" s="19"/>
      <c r="K15" s="2"/>
      <c r="L15" s="2">
        <f t="shared" si="0"/>
        <v>-397.42</v>
      </c>
      <c r="M15" s="2"/>
      <c r="N15" s="19">
        <f t="shared" si="1"/>
        <v>0</v>
      </c>
      <c r="O15" s="11"/>
      <c r="P15" s="2">
        <f>-663.99</f>
        <v>-663.99</v>
      </c>
      <c r="Q15" s="2"/>
      <c r="R15" s="19"/>
      <c r="S15" s="2"/>
      <c r="T15" s="2"/>
      <c r="U15" s="2"/>
      <c r="V15" s="19"/>
      <c r="W15" s="2"/>
      <c r="X15" s="2">
        <f t="shared" si="2"/>
        <v>-663.99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257</v>
      </c>
      <c r="C17" s="10"/>
      <c r="D17" s="4">
        <f>SUM(OSRRefD16x_0)</f>
        <v>14774.61</v>
      </c>
      <c r="E17" s="4"/>
      <c r="F17" s="12">
        <f t="shared" ref="F17:F27" si="4">IF(D$12=0,0,D17/D$12)</f>
        <v>0.57576643257392501</v>
      </c>
      <c r="G17" s="4"/>
      <c r="H17" s="4">
        <f>SUM(OSRRefH16x_0)</f>
        <v>42088</v>
      </c>
      <c r="I17" s="4"/>
      <c r="J17" s="12">
        <f t="shared" ref="J17:J27" si="5">IF(H$12=0,0,H17/H$12)</f>
        <v>0.55964364071537798</v>
      </c>
      <c r="K17" s="4"/>
      <c r="L17" s="4">
        <f t="shared" ref="L17:L27" si="6">+D17-H17</f>
        <v>-27313.39</v>
      </c>
      <c r="M17" s="4"/>
      <c r="N17" s="12">
        <f t="shared" ref="N17:N27" si="7">IF(H17=0,0,L17/H17)</f>
        <v>-0.64895908572514727</v>
      </c>
      <c r="O17" s="10"/>
      <c r="P17" s="4">
        <f>SUM(OSRRefP16x_0)</f>
        <v>24460.17</v>
      </c>
      <c r="Q17" s="4"/>
      <c r="R17" s="12">
        <f t="shared" ref="R17:R27" si="8">IF(P$12=0,0,P17/P$12)</f>
        <v>0.57996420180432573</v>
      </c>
      <c r="S17" s="4"/>
      <c r="T17" s="4">
        <f>SUM(OSRRefT16x_0)</f>
        <v>75072</v>
      </c>
      <c r="U17" s="4"/>
      <c r="V17" s="12">
        <f t="shared" ref="V17:V27" si="9">IF(T$12=0,0,T17/T$12)</f>
        <v>0.57949624460620475</v>
      </c>
      <c r="W17" s="4"/>
      <c r="X17" s="4">
        <f t="shared" ref="X17:X27" si="10">+P17-T17</f>
        <v>-50611.83</v>
      </c>
      <c r="Y17" s="4"/>
      <c r="Z17" s="12">
        <f t="shared" ref="Z17:Z27" si="11">IF(T17=0,0,X17/T17)</f>
        <v>-0.67417718989769826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>
        <v>11537.82</v>
      </c>
      <c r="E18" s="2"/>
      <c r="F18" s="19">
        <f t="shared" si="4"/>
        <v>0.44962875237181105</v>
      </c>
      <c r="G18" s="2"/>
      <c r="H18" s="2">
        <v>42088</v>
      </c>
      <c r="I18" s="2"/>
      <c r="J18" s="19">
        <f t="shared" si="5"/>
        <v>0.55964364071537798</v>
      </c>
      <c r="K18" s="2"/>
      <c r="L18" s="2">
        <f t="shared" si="6"/>
        <v>-30550.18</v>
      </c>
      <c r="M18" s="2"/>
      <c r="N18" s="19">
        <f t="shared" si="7"/>
        <v>-0.72586437939555215</v>
      </c>
      <c r="O18" s="11"/>
      <c r="P18" s="2">
        <v>25233.11</v>
      </c>
      <c r="Q18" s="2"/>
      <c r="R18" s="19">
        <f t="shared" si="8"/>
        <v>0.59829103805046124</v>
      </c>
      <c r="S18" s="2"/>
      <c r="T18" s="2">
        <v>75072</v>
      </c>
      <c r="U18" s="2"/>
      <c r="V18" s="19">
        <f t="shared" si="9"/>
        <v>0.57949624460620475</v>
      </c>
      <c r="W18" s="2"/>
      <c r="X18" s="2">
        <f t="shared" si="10"/>
        <v>-49838.89</v>
      </c>
      <c r="Y18" s="2"/>
      <c r="Z18" s="19">
        <f t="shared" si="11"/>
        <v>-0.66388120737425405</v>
      </c>
    </row>
    <row r="19" spans="1:26" s="24" customFormat="1" hidden="1" outlineLevel="1" x14ac:dyDescent="0.25">
      <c r="A19" s="44"/>
      <c r="B19" s="11" t="str">
        <f>CONCATENATE("          ", "5026", " - ", "PURCHASES @ COST-WRITING INSTR")</f>
        <v xml:space="preserve">          5026 - PURCHASES @ COST-WRITING INSTR</v>
      </c>
      <c r="C19" s="11"/>
      <c r="D19" s="2"/>
      <c r="E19" s="2"/>
      <c r="F19" s="19">
        <f t="shared" si="4"/>
        <v>0</v>
      </c>
      <c r="G19" s="2"/>
      <c r="H19" s="2"/>
      <c r="I19" s="2"/>
      <c r="J19" s="19">
        <f t="shared" si="5"/>
        <v>0</v>
      </c>
      <c r="K19" s="2"/>
      <c r="L19" s="2">
        <f t="shared" si="6"/>
        <v>0</v>
      </c>
      <c r="M19" s="2"/>
      <c r="N19" s="19">
        <f t="shared" si="7"/>
        <v>0</v>
      </c>
      <c r="O19" s="11"/>
      <c r="P19" s="2">
        <v>0</v>
      </c>
      <c r="Q19" s="2"/>
      <c r="R19" s="19">
        <f t="shared" si="8"/>
        <v>0</v>
      </c>
      <c r="S19" s="2"/>
      <c r="T19" s="2"/>
      <c r="U19" s="2"/>
      <c r="V19" s="19">
        <f t="shared" si="9"/>
        <v>0</v>
      </c>
      <c r="W19" s="2"/>
      <c r="X19" s="2">
        <f t="shared" si="10"/>
        <v>0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"5027", " - ", "PURCHASES @ COST-SCHOOL SUPPLI")</f>
        <v xml:space="preserve">          5027 - PURCHASES @ COST-SCHOOL SUPPLI</v>
      </c>
      <c r="C20" s="11"/>
      <c r="D20" s="2"/>
      <c r="E20" s="2"/>
      <c r="F20" s="19">
        <f t="shared" si="4"/>
        <v>0</v>
      </c>
      <c r="G20" s="2"/>
      <c r="H20" s="2"/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>
        <v>0</v>
      </c>
      <c r="Q20" s="2"/>
      <c r="R20" s="19">
        <f t="shared" si="8"/>
        <v>0</v>
      </c>
      <c r="S20" s="2"/>
      <c r="T20" s="2"/>
      <c r="U20" s="2"/>
      <c r="V20" s="19">
        <f t="shared" si="9"/>
        <v>0</v>
      </c>
      <c r="W20" s="2"/>
      <c r="X20" s="2">
        <f t="shared" si="10"/>
        <v>0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"5028", " - ", "PURCHASES @ COST-ART/TECH")</f>
        <v xml:space="preserve">          5028 - PURCHASES @ COST-ART/TECH</v>
      </c>
      <c r="C21" s="11"/>
      <c r="D21" s="2">
        <v>0</v>
      </c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25">
      <c r="A22" s="44"/>
      <c r="B22" s="11" t="str">
        <f>CONCATENATE("          ", "5031", " - ", "PURCHASES @ COST-FOOD")</f>
        <v xml:space="preserve">          5031 - PURCHASES @ COST-FOOD</v>
      </c>
      <c r="C22" s="11"/>
      <c r="D22" s="2">
        <v>0</v>
      </c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"5042", " - ", "PURCHASES @ COST-EVERYDAY GIFT")</f>
        <v xml:space="preserve">          5042 - PURCHASES @ COST-EVERYDAY GIFT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25">
      <c r="A24" s="44"/>
      <c r="B24" s="11" t="str">
        <f>CONCATENATE("          ", "5200", " - ", "PURCHASES OFFSET")</f>
        <v xml:space="preserve">          5200 - PURCHASES OFFSET</v>
      </c>
      <c r="C24" s="11"/>
      <c r="D24" s="2">
        <v>-11589.14</v>
      </c>
      <c r="E24" s="2"/>
      <c r="F24" s="19">
        <f t="shared" si="4"/>
        <v>-0.45162869235802344</v>
      </c>
      <c r="G24" s="2"/>
      <c r="H24" s="2"/>
      <c r="I24" s="2"/>
      <c r="J24" s="19">
        <f t="shared" si="5"/>
        <v>0</v>
      </c>
      <c r="K24" s="2"/>
      <c r="L24" s="2">
        <f t="shared" si="6"/>
        <v>-11589.14</v>
      </c>
      <c r="M24" s="2"/>
      <c r="N24" s="19">
        <f t="shared" si="7"/>
        <v>0</v>
      </c>
      <c r="O24" s="11"/>
      <c r="P24" s="2">
        <v>-25426.880000000001</v>
      </c>
      <c r="Q24" s="2"/>
      <c r="R24" s="19">
        <f t="shared" si="8"/>
        <v>-0.60288543225882629</v>
      </c>
      <c r="S24" s="2"/>
      <c r="T24" s="2"/>
      <c r="U24" s="2"/>
      <c r="V24" s="19">
        <f t="shared" si="9"/>
        <v>0</v>
      </c>
      <c r="W24" s="2"/>
      <c r="X24" s="2">
        <f t="shared" si="10"/>
        <v>-25426.880000000001</v>
      </c>
      <c r="Y24" s="2"/>
      <c r="Z24" s="19">
        <f t="shared" si="11"/>
        <v>0</v>
      </c>
    </row>
    <row r="25" spans="1:26" s="24" customFormat="1" hidden="1" outlineLevel="1" x14ac:dyDescent="0.25">
      <c r="A25" s="44"/>
      <c r="B25" s="11" t="str">
        <f>CONCATENATE("          ", "5300", " - ", "COG$ OFFSET")</f>
        <v xml:space="preserve">          5300 - COG$ OFFSET</v>
      </c>
      <c r="C25" s="11"/>
      <c r="D25" s="2">
        <v>14774.61</v>
      </c>
      <c r="E25" s="2"/>
      <c r="F25" s="19">
        <f t="shared" si="4"/>
        <v>0.57576643257392501</v>
      </c>
      <c r="G25" s="2"/>
      <c r="H25" s="2"/>
      <c r="I25" s="2"/>
      <c r="J25" s="19">
        <f t="shared" si="5"/>
        <v>0</v>
      </c>
      <c r="K25" s="2"/>
      <c r="L25" s="2">
        <f t="shared" si="6"/>
        <v>14774.61</v>
      </c>
      <c r="M25" s="2"/>
      <c r="N25" s="19">
        <f t="shared" si="7"/>
        <v>0</v>
      </c>
      <c r="O25" s="11"/>
      <c r="P25" s="2">
        <v>24460.17</v>
      </c>
      <c r="Q25" s="2"/>
      <c r="R25" s="19">
        <f t="shared" si="8"/>
        <v>0.57996420180432573</v>
      </c>
      <c r="S25" s="2"/>
      <c r="T25" s="2"/>
      <c r="U25" s="2"/>
      <c r="V25" s="19">
        <f t="shared" si="9"/>
        <v>0</v>
      </c>
      <c r="W25" s="2"/>
      <c r="X25" s="2">
        <f t="shared" si="10"/>
        <v>24460.17</v>
      </c>
      <c r="Y25" s="2"/>
      <c r="Z25" s="19">
        <f t="shared" si="11"/>
        <v>0</v>
      </c>
    </row>
    <row r="26" spans="1:26" s="24" customFormat="1" hidden="1" outlineLevel="1" x14ac:dyDescent="0.25">
      <c r="A26" s="44"/>
      <c r="B26" s="11" t="str">
        <f>CONCATENATE("          ", "5500", " - ", "FREIGHT-IN")</f>
        <v xml:space="preserve">          5500 - FREIGHT-IN</v>
      </c>
      <c r="C26" s="11"/>
      <c r="D26" s="2">
        <v>51.32</v>
      </c>
      <c r="E26" s="2"/>
      <c r="F26" s="19">
        <f t="shared" si="4"/>
        <v>1.9999399862124165E-3</v>
      </c>
      <c r="G26" s="2"/>
      <c r="H26" s="2"/>
      <c r="I26" s="2"/>
      <c r="J26" s="19">
        <f t="shared" si="5"/>
        <v>0</v>
      </c>
      <c r="K26" s="2"/>
      <c r="L26" s="2">
        <f t="shared" si="6"/>
        <v>51.32</v>
      </c>
      <c r="M26" s="2"/>
      <c r="N26" s="19">
        <f t="shared" si="7"/>
        <v>0</v>
      </c>
      <c r="O26" s="11"/>
      <c r="P26" s="2">
        <v>193.77</v>
      </c>
      <c r="Q26" s="2"/>
      <c r="R26" s="19">
        <f t="shared" si="8"/>
        <v>4.5943942083650361E-3</v>
      </c>
      <c r="S26" s="2"/>
      <c r="T26" s="2"/>
      <c r="U26" s="2"/>
      <c r="V26" s="19">
        <f t="shared" si="9"/>
        <v>0</v>
      </c>
      <c r="W26" s="2"/>
      <c r="X26" s="2">
        <f t="shared" si="10"/>
        <v>193.77</v>
      </c>
      <c r="Y26" s="2"/>
      <c r="Z26" s="19">
        <f t="shared" si="11"/>
        <v>0</v>
      </c>
    </row>
    <row r="27" spans="1:26" s="24" customFormat="1" hidden="1" outlineLevel="1" x14ac:dyDescent="0.25">
      <c r="A27" s="44"/>
      <c r="B27" s="11" t="str">
        <f>CONCATENATE("          ", "5528", " - ", "FREIGHT-IN-ART/TECH")</f>
        <v xml:space="preserve">          5528 - FREIGHT-IN-ART/TECH</v>
      </c>
      <c r="C27" s="11"/>
      <c r="D27" s="2">
        <v>0</v>
      </c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5" t="s">
        <v>108</v>
      </c>
      <c r="C29" s="25"/>
      <c r="D29" s="21">
        <f>D12-D17</f>
        <v>10886.160000000003</v>
      </c>
      <c r="E29" s="13"/>
      <c r="F29" s="20">
        <f>IF(D$12=0,0,D29/D$12)</f>
        <v>0.42423356742607499</v>
      </c>
      <c r="G29" s="13"/>
      <c r="H29" s="21">
        <f>H12-H17</f>
        <v>33117</v>
      </c>
      <c r="I29" s="13"/>
      <c r="J29" s="20">
        <f>IF(H$12=0,0,H29/H$12)</f>
        <v>0.44035635928462202</v>
      </c>
      <c r="K29" s="16"/>
      <c r="L29" s="21">
        <f>+D29-H29</f>
        <v>-22230.839999999997</v>
      </c>
      <c r="M29" s="16"/>
      <c r="N29" s="20">
        <f>IF(H29=0,0,L29/H29)</f>
        <v>-0.67128181900534456</v>
      </c>
      <c r="O29" s="26"/>
      <c r="P29" s="21">
        <f>P12-P17</f>
        <v>17715.140000000007</v>
      </c>
      <c r="Q29" s="13"/>
      <c r="R29" s="20">
        <f>IF(P$12=0,0,P29/P$12)</f>
        <v>0.42003579819567433</v>
      </c>
      <c r="S29" s="13"/>
      <c r="T29" s="21">
        <f>T12-T17</f>
        <v>54475</v>
      </c>
      <c r="U29" s="13"/>
      <c r="V29" s="20">
        <f>IF(T$12=0,0,T29/T$12)</f>
        <v>0.42050375539379531</v>
      </c>
      <c r="W29" s="16"/>
      <c r="X29" s="21">
        <f>+P29-T29</f>
        <v>-36759.859999999993</v>
      </c>
      <c r="Y29" s="16"/>
      <c r="Z29" s="20">
        <f>IF(T29=0,0,X29/T29)</f>
        <v>-0.67480238641578694</v>
      </c>
    </row>
    <row r="30" spans="1:26" x14ac:dyDescent="0.25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6" t="s">
        <v>295</v>
      </c>
      <c r="C31" s="10"/>
      <c r="D31" s="22">
        <f>SUM(OSRRefD22x_0)</f>
        <v>1344.8000000000002</v>
      </c>
      <c r="E31" s="22"/>
      <c r="F31" s="32">
        <f t="shared" ref="F31:F40" si="12">IF(D$12=0,0,D31/D$12)</f>
        <v>5.2406845157023735E-2</v>
      </c>
      <c r="G31" s="22"/>
      <c r="H31" s="22">
        <f>SUM(OSRRefH22x_0)</f>
        <v>10872.615600000001</v>
      </c>
      <c r="I31" s="22"/>
      <c r="J31" s="32">
        <f t="shared" ref="J31:J40" si="13">IF(H$12=0,0,H31/H$12)</f>
        <v>0.14457304168605811</v>
      </c>
      <c r="K31" s="4"/>
      <c r="L31" s="22">
        <f t="shared" ref="L31:L40" si="14">+D31-H31</f>
        <v>-9527.8156000000017</v>
      </c>
      <c r="M31" s="4"/>
      <c r="N31" s="32">
        <f t="shared" ref="N31:N40" si="15">IF(H31=0,0,L31/H31)</f>
        <v>-0.87631311089486152</v>
      </c>
      <c r="O31" s="10"/>
      <c r="P31" s="22">
        <f>SUM(OSRRefP22x_0)</f>
        <v>5598.3</v>
      </c>
      <c r="Q31" s="22"/>
      <c r="R31" s="32">
        <f t="shared" ref="R31:R40" si="16">IF(P$12=0,0,P31/P$12)</f>
        <v>0.13273879907462446</v>
      </c>
      <c r="S31" s="22"/>
      <c r="T31" s="22">
        <f>SUM(OSRRefT22x_0)</f>
        <v>34105.288050000003</v>
      </c>
      <c r="U31" s="22"/>
      <c r="V31" s="32">
        <f t="shared" ref="V31:V40" si="17">IF(T$12=0,0,T31/T$12)</f>
        <v>0.26326574949632181</v>
      </c>
      <c r="W31" s="4"/>
      <c r="X31" s="22">
        <f t="shared" ref="X31:X40" si="18">+P31-T31</f>
        <v>-28506.988050000004</v>
      </c>
      <c r="Y31" s="4"/>
      <c r="Z31" s="32">
        <f t="shared" ref="Z31:Z40" si="19">IF(T31=0,0,X31/T31)</f>
        <v>-0.83585243461973935</v>
      </c>
    </row>
    <row r="32" spans="1:26" s="28" customFormat="1" outlineLevel="1" collapsed="1" x14ac:dyDescent="0.25">
      <c r="A32" s="27"/>
      <c r="B32" s="14" t="str">
        <f>CONCATENATE("     ","*Benefits                                         ")</f>
        <v xml:space="preserve">     *Benefits                                         </v>
      </c>
      <c r="C32" s="14"/>
      <c r="D32" s="1">
        <f>SUM(OSRRefD22_0x_0)</f>
        <v>0</v>
      </c>
      <c r="E32" s="1"/>
      <c r="F32" s="5">
        <f t="shared" si="12"/>
        <v>0</v>
      </c>
      <c r="G32" s="1"/>
      <c r="H32" s="1">
        <f>SUM(OSRRefH22_0x_0)</f>
        <v>573.61560000000009</v>
      </c>
      <c r="I32" s="1"/>
      <c r="J32" s="5">
        <f t="shared" si="13"/>
        <v>7.6273598829865044E-3</v>
      </c>
      <c r="K32" s="1"/>
      <c r="L32" s="1">
        <f t="shared" si="14"/>
        <v>-573.61560000000009</v>
      </c>
      <c r="M32" s="1"/>
      <c r="N32" s="5">
        <f t="shared" si="15"/>
        <v>-1</v>
      </c>
      <c r="O32" s="14"/>
      <c r="P32" s="1">
        <f>SUM(OSRRefP22_0x_0)</f>
        <v>0</v>
      </c>
      <c r="Q32" s="1"/>
      <c r="R32" s="5">
        <f t="shared" si="16"/>
        <v>0</v>
      </c>
      <c r="S32" s="1"/>
      <c r="T32" s="1">
        <f>SUM(OSRRefT22_0x_0)</f>
        <v>2935.2880500000001</v>
      </c>
      <c r="U32" s="1"/>
      <c r="V32" s="5">
        <f t="shared" si="17"/>
        <v>2.2658093587655446E-2</v>
      </c>
      <c r="W32" s="1"/>
      <c r="X32" s="1">
        <f t="shared" si="18"/>
        <v>-2935.2880500000001</v>
      </c>
      <c r="Y32" s="1"/>
      <c r="Z32" s="5">
        <f t="shared" si="19"/>
        <v>-1</v>
      </c>
    </row>
    <row r="33" spans="1:26" s="24" customFormat="1" hidden="1" outlineLevel="2" x14ac:dyDescent="0.25">
      <c r="A33" s="29"/>
      <c r="B33" s="11" t="str">
        <f>CONCATENATE("          ", "6111", " - ", "F.I.C.A.")</f>
        <v xml:space="preserve">          6111 - F.I.C.A.</v>
      </c>
      <c r="C33" s="11"/>
      <c r="D33" s="7"/>
      <c r="E33" s="2"/>
      <c r="F33" s="6">
        <f t="shared" si="12"/>
        <v>0</v>
      </c>
      <c r="G33" s="2"/>
      <c r="H33" s="7">
        <v>146.9376</v>
      </c>
      <c r="I33" s="2"/>
      <c r="J33" s="6">
        <f t="shared" si="13"/>
        <v>1.9538275380626287E-3</v>
      </c>
      <c r="K33" s="2"/>
      <c r="L33" s="7">
        <f t="shared" si="14"/>
        <v>-146.9376</v>
      </c>
      <c r="M33" s="2"/>
      <c r="N33" s="6">
        <f t="shared" si="15"/>
        <v>-1</v>
      </c>
      <c r="O33" s="11"/>
      <c r="P33" s="7"/>
      <c r="Q33" s="2"/>
      <c r="R33" s="6">
        <f t="shared" si="16"/>
        <v>0</v>
      </c>
      <c r="S33" s="2"/>
      <c r="T33" s="7">
        <v>1548.58455</v>
      </c>
      <c r="U33" s="2"/>
      <c r="V33" s="6">
        <f t="shared" si="17"/>
        <v>1.1953843392745491E-2</v>
      </c>
      <c r="W33" s="2"/>
      <c r="X33" s="7">
        <f t="shared" si="18"/>
        <v>-1548.58455</v>
      </c>
      <c r="Y33" s="2"/>
      <c r="Z33" s="6">
        <f t="shared" si="19"/>
        <v>-1</v>
      </c>
    </row>
    <row r="34" spans="1:26" s="24" customFormat="1" hidden="1" outlineLevel="2" x14ac:dyDescent="0.25">
      <c r="A34" s="29"/>
      <c r="B34" s="11" t="str">
        <f>CONCATENATE("          ", "6112", " - ", "COMPENSATION INSURANCE")</f>
        <v xml:space="preserve">          6112 - COMPENSATION INSURANCE</v>
      </c>
      <c r="C34" s="11"/>
      <c r="D34" s="7"/>
      <c r="E34" s="2"/>
      <c r="F34" s="6">
        <f t="shared" si="12"/>
        <v>0</v>
      </c>
      <c r="G34" s="2"/>
      <c r="H34" s="7">
        <v>126.98399999999999</v>
      </c>
      <c r="I34" s="2"/>
      <c r="J34" s="6">
        <f t="shared" si="13"/>
        <v>1.688504753673293E-3</v>
      </c>
      <c r="K34" s="2"/>
      <c r="L34" s="7">
        <f t="shared" si="14"/>
        <v>-126.98399999999999</v>
      </c>
      <c r="M34" s="2"/>
      <c r="N34" s="6">
        <f t="shared" si="15"/>
        <v>-1</v>
      </c>
      <c r="O34" s="11"/>
      <c r="P34" s="7"/>
      <c r="Q34" s="2"/>
      <c r="R34" s="6">
        <f t="shared" si="16"/>
        <v>0</v>
      </c>
      <c r="S34" s="2"/>
      <c r="T34" s="7">
        <v>412.69799999999998</v>
      </c>
      <c r="U34" s="2"/>
      <c r="V34" s="6">
        <f t="shared" si="17"/>
        <v>3.1857009425150717E-3</v>
      </c>
      <c r="W34" s="2"/>
      <c r="X34" s="7">
        <f t="shared" si="18"/>
        <v>-412.69799999999998</v>
      </c>
      <c r="Y34" s="2"/>
      <c r="Z34" s="6">
        <f t="shared" si="19"/>
        <v>-1</v>
      </c>
    </row>
    <row r="35" spans="1:26" s="24" customFormat="1" hidden="1" outlineLevel="2" x14ac:dyDescent="0.25">
      <c r="A35" s="29"/>
      <c r="B35" s="11" t="str">
        <f>CONCATENATE("          ", "6113", " - ", "GROUP INSURANCE")</f>
        <v xml:space="preserve">          6113 - GROUP INSURANCE</v>
      </c>
      <c r="C35" s="11"/>
      <c r="D35" s="7"/>
      <c r="E35" s="2"/>
      <c r="F35" s="6">
        <f t="shared" si="12"/>
        <v>0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/>
      <c r="Q35" s="2"/>
      <c r="R35" s="6">
        <f t="shared" si="16"/>
        <v>0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0</v>
      </c>
      <c r="Y35" s="2"/>
      <c r="Z35" s="6">
        <f t="shared" si="19"/>
        <v>0</v>
      </c>
    </row>
    <row r="36" spans="1:26" s="24" customFormat="1" hidden="1" outlineLevel="2" x14ac:dyDescent="0.25">
      <c r="A36" s="29"/>
      <c r="B36" s="11" t="str">
        <f>CONCATENATE("          ", "6114", " - ", "STATE UNEMPLOYMENT INSURANCE")</f>
        <v xml:space="preserve">          6114 - STATE UNEMPLOYMENT INSURANCE</v>
      </c>
      <c r="C36" s="11"/>
      <c r="D36" s="7"/>
      <c r="E36" s="2"/>
      <c r="F36" s="6">
        <f t="shared" si="12"/>
        <v>0</v>
      </c>
      <c r="G36" s="2"/>
      <c r="H36" s="7">
        <v>17.094000000000001</v>
      </c>
      <c r="I36" s="2"/>
      <c r="J36" s="6">
        <f t="shared" si="13"/>
        <v>2.2729871684063562E-4</v>
      </c>
      <c r="K36" s="2"/>
      <c r="L36" s="7">
        <f t="shared" si="14"/>
        <v>-17.094000000000001</v>
      </c>
      <c r="M36" s="2"/>
      <c r="N36" s="6">
        <f t="shared" si="15"/>
        <v>-1</v>
      </c>
      <c r="O36" s="11"/>
      <c r="P36" s="7"/>
      <c r="Q36" s="2"/>
      <c r="R36" s="6">
        <f t="shared" si="16"/>
        <v>0</v>
      </c>
      <c r="S36" s="2"/>
      <c r="T36" s="7">
        <v>55.555500000000002</v>
      </c>
      <c r="U36" s="2"/>
      <c r="V36" s="6">
        <f t="shared" si="17"/>
        <v>4.2884435764625967E-4</v>
      </c>
      <c r="W36" s="2"/>
      <c r="X36" s="7">
        <f t="shared" si="18"/>
        <v>-55.555500000000002</v>
      </c>
      <c r="Y36" s="2"/>
      <c r="Z36" s="6">
        <f t="shared" si="19"/>
        <v>-1</v>
      </c>
    </row>
    <row r="37" spans="1:26" s="24" customFormat="1" hidden="1" outlineLevel="2" x14ac:dyDescent="0.25">
      <c r="A37" s="29"/>
      <c r="B37" s="11" t="str">
        <f>CONCATENATE("          ", "6115", " - ", "P.E.R.S.")</f>
        <v xml:space="preserve">          6115 - P.E.R.S.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/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0</v>
      </c>
      <c r="Y37" s="2"/>
      <c r="Z37" s="6">
        <f t="shared" si="19"/>
        <v>0</v>
      </c>
    </row>
    <row r="38" spans="1:26" s="24" customFormat="1" hidden="1" outlineLevel="2" x14ac:dyDescent="0.25">
      <c r="A38" s="29"/>
      <c r="B38" s="11" t="str">
        <f>CONCATENATE("          ", "6116", " - ", "EDUCATIONAL BENEFITS")</f>
        <v xml:space="preserve">          6116 - EDUCATIONAL BENEFITS</v>
      </c>
      <c r="C38" s="11"/>
      <c r="D38" s="7"/>
      <c r="E38" s="2"/>
      <c r="F38" s="6">
        <f t="shared" si="12"/>
        <v>0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0</v>
      </c>
      <c r="M38" s="2"/>
      <c r="N38" s="6">
        <f t="shared" si="15"/>
        <v>0</v>
      </c>
      <c r="O38" s="11"/>
      <c r="P38" s="7"/>
      <c r="Q38" s="2"/>
      <c r="R38" s="6">
        <f t="shared" si="16"/>
        <v>0</v>
      </c>
      <c r="S38" s="2"/>
      <c r="T38" s="7">
        <v>0</v>
      </c>
      <c r="U38" s="2"/>
      <c r="V38" s="6">
        <f t="shared" si="17"/>
        <v>0</v>
      </c>
      <c r="W38" s="2"/>
      <c r="X38" s="7">
        <f t="shared" si="18"/>
        <v>0</v>
      </c>
      <c r="Y38" s="2"/>
      <c r="Z38" s="6">
        <f t="shared" si="19"/>
        <v>0</v>
      </c>
    </row>
    <row r="39" spans="1:26" s="24" customFormat="1" hidden="1" outlineLevel="2" x14ac:dyDescent="0.25">
      <c r="A39" s="29"/>
      <c r="B39" s="11" t="str">
        <f>CONCATENATE("          ", "6118", " - ", "VACATION")</f>
        <v xml:space="preserve">          6118 - VACATION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9"/>
      <c r="B40" s="11" t="str">
        <f>CONCATENATE("          ", "6119", " - ", "SICK LEAVE")</f>
        <v xml:space="preserve">          6119 - SICK LEAVE</v>
      </c>
      <c r="C40" s="11"/>
      <c r="D40" s="7"/>
      <c r="E40" s="2"/>
      <c r="F40" s="6">
        <f t="shared" si="12"/>
        <v>0</v>
      </c>
      <c r="G40" s="2"/>
      <c r="H40" s="7">
        <v>282.60000000000002</v>
      </c>
      <c r="I40" s="2"/>
      <c r="J40" s="6">
        <f t="shared" si="13"/>
        <v>3.7577288744099465E-3</v>
      </c>
      <c r="K40" s="2"/>
      <c r="L40" s="7">
        <f t="shared" si="14"/>
        <v>-282.60000000000002</v>
      </c>
      <c r="M40" s="2"/>
      <c r="N40" s="6">
        <f t="shared" si="15"/>
        <v>-1</v>
      </c>
      <c r="O40" s="11"/>
      <c r="P40" s="7"/>
      <c r="Q40" s="2"/>
      <c r="R40" s="6">
        <f t="shared" si="16"/>
        <v>0</v>
      </c>
      <c r="S40" s="2"/>
      <c r="T40" s="7">
        <v>918.45</v>
      </c>
      <c r="U40" s="2"/>
      <c r="V40" s="6">
        <f t="shared" si="17"/>
        <v>7.0897048947486246E-3</v>
      </c>
      <c r="W40" s="2"/>
      <c r="X40" s="7">
        <f t="shared" si="18"/>
        <v>-918.45</v>
      </c>
      <c r="Y40" s="2"/>
      <c r="Z40" s="6">
        <f t="shared" si="19"/>
        <v>-1</v>
      </c>
    </row>
    <row r="41" spans="1:26" s="28" customFormat="1" outlineLevel="1" collapsed="1" x14ac:dyDescent="0.25">
      <c r="A41" s="27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0</v>
      </c>
      <c r="E41" s="1"/>
      <c r="F41" s="5">
        <f t="shared" ref="F41:F51" si="20">IF(D$12=0,0,D41/D$12)</f>
        <v>0</v>
      </c>
      <c r="G41" s="1"/>
      <c r="H41" s="1">
        <f>SUM(OSRRefH22_1x_0)</f>
        <v>8044</v>
      </c>
      <c r="I41" s="1"/>
      <c r="J41" s="5">
        <f t="shared" ref="J41:J51" si="21">IF(H$12=0,0,H41/H$12)</f>
        <v>0.10696097333953859</v>
      </c>
      <c r="K41" s="1"/>
      <c r="L41" s="1">
        <f t="shared" ref="L41:L51" si="22">+D41-H41</f>
        <v>-8044</v>
      </c>
      <c r="M41" s="1"/>
      <c r="N41" s="5">
        <f t="shared" ref="N41:N51" si="23">IF(H41=0,0,L41/H41)</f>
        <v>-1</v>
      </c>
      <c r="O41" s="14"/>
      <c r="P41" s="1">
        <f>SUM(OSRRefP22_1x_0)</f>
        <v>0</v>
      </c>
      <c r="Q41" s="1"/>
      <c r="R41" s="5">
        <f t="shared" ref="R41:R51" si="24">IF(P$12=0,0,P41/P$12)</f>
        <v>0</v>
      </c>
      <c r="S41" s="1"/>
      <c r="T41" s="1">
        <f>SUM(OSRRefT22_1x_0)</f>
        <v>26143</v>
      </c>
      <c r="U41" s="1"/>
      <c r="V41" s="5">
        <f t="shared" ref="V41:V51" si="25">IF(T$12=0,0,T41/T$12)</f>
        <v>0.20180320655823755</v>
      </c>
      <c r="W41" s="1"/>
      <c r="X41" s="1">
        <f t="shared" ref="X41:X51" si="26">+P41-T41</f>
        <v>-26143</v>
      </c>
      <c r="Y41" s="1"/>
      <c r="Z41" s="5">
        <f t="shared" ref="Z41:Z51" si="27">IF(T41=0,0,X41/T41)</f>
        <v>-1</v>
      </c>
    </row>
    <row r="42" spans="1:26" s="24" customFormat="1" hidden="1" outlineLevel="2" x14ac:dyDescent="0.25">
      <c r="A42" s="29"/>
      <c r="B42" s="11" t="str">
        <f>CONCATENATE("          ", "6001", " - ", "ADMINISTRATIVE SALARIES")</f>
        <v xml:space="preserve">          6001 - ADMINISTRATIVE SALARIES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9"/>
      <c r="B43" s="11" t="str">
        <f>CONCATENATE("          ", "6002", " - ", "STAFF SALARIES")</f>
        <v xml:space="preserve">          6002 - STAFF SALARIES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9"/>
      <c r="B44" s="11" t="str">
        <f>CONCATENATE("          ", "6003", " - ", "STAFF HOURLY-9 MONTH")</f>
        <v xml:space="preserve">          6003 - STAFF HOURLY-9 MONTH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9"/>
      <c r="B45" s="11" t="str">
        <f>CONCATENATE("          ", "6004", " - ", "STAFF HOURLY")</f>
        <v xml:space="preserve">          6004 - STAFF HOURLY</v>
      </c>
      <c r="C45" s="11"/>
      <c r="D45" s="7"/>
      <c r="E45" s="2"/>
      <c r="F45" s="6">
        <f t="shared" si="20"/>
        <v>0</v>
      </c>
      <c r="G45" s="2"/>
      <c r="H45" s="7">
        <v>1824</v>
      </c>
      <c r="I45" s="2"/>
      <c r="J45" s="6">
        <f t="shared" si="21"/>
        <v>2.4253706535469717E-2</v>
      </c>
      <c r="K45" s="2"/>
      <c r="L45" s="7">
        <f t="shared" si="22"/>
        <v>-1824</v>
      </c>
      <c r="M45" s="2"/>
      <c r="N45" s="6">
        <f t="shared" si="23"/>
        <v>-1</v>
      </c>
      <c r="O45" s="11"/>
      <c r="P45" s="7"/>
      <c r="Q45" s="2"/>
      <c r="R45" s="6">
        <f t="shared" si="24"/>
        <v>0</v>
      </c>
      <c r="S45" s="2"/>
      <c r="T45" s="7">
        <v>5928</v>
      </c>
      <c r="U45" s="2"/>
      <c r="V45" s="6">
        <f t="shared" si="25"/>
        <v>4.5759454097740591E-2</v>
      </c>
      <c r="W45" s="2"/>
      <c r="X45" s="7">
        <f t="shared" si="26"/>
        <v>-5928</v>
      </c>
      <c r="Y45" s="2"/>
      <c r="Z45" s="6">
        <f t="shared" si="27"/>
        <v>-1</v>
      </c>
    </row>
    <row r="46" spans="1:26" s="24" customFormat="1" hidden="1" outlineLevel="2" x14ac:dyDescent="0.25">
      <c r="A46" s="29"/>
      <c r="B46" s="11" t="str">
        <f>CONCATENATE("          ", "6005", " - ", "TEMPORARY WAGES-HOURLY")</f>
        <v xml:space="preserve">          6005 - TEMPORARY WAGES-HOURLY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9"/>
      <c r="B47" s="11" t="str">
        <f>CONCATENATE("          ", "6006", " - ", "TEMPORARY PART TIME")</f>
        <v xml:space="preserve">          6006 - TEMPORARY PART TIME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4" customFormat="1" hidden="1" outlineLevel="2" x14ac:dyDescent="0.25">
      <c r="A48" s="29"/>
      <c r="B48" s="11" t="str">
        <f>CONCATENATE("          ", "6007", " - ", "STUDENT HOURLY")</f>
        <v xml:space="preserve">          6007 - STUDENT HOURLY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13995</v>
      </c>
      <c r="U48" s="2"/>
      <c r="V48" s="6">
        <f t="shared" si="25"/>
        <v>0.10803029016495944</v>
      </c>
      <c r="W48" s="2"/>
      <c r="X48" s="7">
        <f t="shared" si="26"/>
        <v>-13995</v>
      </c>
      <c r="Y48" s="2"/>
      <c r="Z48" s="6">
        <f t="shared" si="27"/>
        <v>-1</v>
      </c>
    </row>
    <row r="49" spans="1:26" s="24" customFormat="1" hidden="1" outlineLevel="2" x14ac:dyDescent="0.25">
      <c r="A49" s="29"/>
      <c r="B49" s="11" t="str">
        <f>CONCATENATE("          ", "6008", " - ", "STUDENT HOURLY-FICA EXEMPT")</f>
        <v xml:space="preserve">          6008 - STUDENT HOURLY-FICA EXEMPT</v>
      </c>
      <c r="C49" s="11"/>
      <c r="D49" s="7"/>
      <c r="E49" s="2"/>
      <c r="F49" s="6">
        <f t="shared" si="20"/>
        <v>0</v>
      </c>
      <c r="G49" s="2"/>
      <c r="H49" s="7">
        <v>6220</v>
      </c>
      <c r="I49" s="2"/>
      <c r="J49" s="6">
        <f t="shared" si="21"/>
        <v>8.2707266804068882E-2</v>
      </c>
      <c r="K49" s="2"/>
      <c r="L49" s="7">
        <f t="shared" si="22"/>
        <v>-6220</v>
      </c>
      <c r="M49" s="2"/>
      <c r="N49" s="6">
        <f t="shared" si="23"/>
        <v>-1</v>
      </c>
      <c r="O49" s="11"/>
      <c r="P49" s="7"/>
      <c r="Q49" s="2"/>
      <c r="R49" s="6">
        <f t="shared" si="24"/>
        <v>0</v>
      </c>
      <c r="S49" s="2"/>
      <c r="T49" s="7">
        <v>6220</v>
      </c>
      <c r="U49" s="2"/>
      <c r="V49" s="6">
        <f t="shared" si="25"/>
        <v>4.8013462295537525E-2</v>
      </c>
      <c r="W49" s="2"/>
      <c r="X49" s="7">
        <f t="shared" si="26"/>
        <v>-6220</v>
      </c>
      <c r="Y49" s="2"/>
      <c r="Z49" s="6">
        <f t="shared" si="27"/>
        <v>-1</v>
      </c>
    </row>
    <row r="50" spans="1:26" s="24" customFormat="1" hidden="1" outlineLevel="2" x14ac:dyDescent="0.25">
      <c r="A50" s="29"/>
      <c r="B50" s="11" t="str">
        <f>CONCATENATE("          ", "6009", " - ", "TEMPORARY-SEASONAL")</f>
        <v xml:space="preserve">          6009 - TEMPORARY-SEASONAL</v>
      </c>
      <c r="C50" s="11"/>
      <c r="D50" s="7"/>
      <c r="E50" s="2"/>
      <c r="F50" s="6">
        <f t="shared" si="20"/>
        <v>0</v>
      </c>
      <c r="G50" s="2"/>
      <c r="H50" s="7">
        <v>0</v>
      </c>
      <c r="I50" s="2"/>
      <c r="J50" s="6">
        <f t="shared" si="21"/>
        <v>0</v>
      </c>
      <c r="K50" s="2"/>
      <c r="L50" s="7">
        <f t="shared" si="22"/>
        <v>0</v>
      </c>
      <c r="M50" s="2"/>
      <c r="N50" s="6">
        <f t="shared" si="23"/>
        <v>0</v>
      </c>
      <c r="O50" s="11"/>
      <c r="P50" s="7"/>
      <c r="Q50" s="2"/>
      <c r="R50" s="6">
        <f t="shared" si="24"/>
        <v>0</v>
      </c>
      <c r="S50" s="2"/>
      <c r="T50" s="7">
        <v>0</v>
      </c>
      <c r="U50" s="2"/>
      <c r="V50" s="6">
        <f t="shared" si="25"/>
        <v>0</v>
      </c>
      <c r="W50" s="2"/>
      <c r="X50" s="7">
        <f t="shared" si="26"/>
        <v>0</v>
      </c>
      <c r="Y50" s="2"/>
      <c r="Z50" s="6">
        <f t="shared" si="27"/>
        <v>0</v>
      </c>
    </row>
    <row r="51" spans="1:26" s="24" customFormat="1" hidden="1" outlineLevel="2" x14ac:dyDescent="0.25">
      <c r="A51" s="29"/>
      <c r="B51" s="11" t="str">
        <f>CONCATENATE("          ", "6010", " - ", "GRATUITY")</f>
        <v xml:space="preserve">          6010 - GRATUITY</v>
      </c>
      <c r="C51" s="11"/>
      <c r="D51" s="7"/>
      <c r="E51" s="2"/>
      <c r="F51" s="6">
        <f t="shared" si="20"/>
        <v>0</v>
      </c>
      <c r="G51" s="2"/>
      <c r="H51" s="7">
        <v>0</v>
      </c>
      <c r="I51" s="2"/>
      <c r="J51" s="6">
        <f t="shared" si="21"/>
        <v>0</v>
      </c>
      <c r="K51" s="2"/>
      <c r="L51" s="7">
        <f t="shared" si="22"/>
        <v>0</v>
      </c>
      <c r="M51" s="2"/>
      <c r="N51" s="6">
        <f t="shared" si="23"/>
        <v>0</v>
      </c>
      <c r="O51" s="11"/>
      <c r="P51" s="7"/>
      <c r="Q51" s="2"/>
      <c r="R51" s="6">
        <f t="shared" si="24"/>
        <v>0</v>
      </c>
      <c r="S51" s="2"/>
      <c r="T51" s="7">
        <v>0</v>
      </c>
      <c r="U51" s="2"/>
      <c r="V51" s="6">
        <f t="shared" si="25"/>
        <v>0</v>
      </c>
      <c r="W51" s="2"/>
      <c r="X51" s="7">
        <f t="shared" si="26"/>
        <v>0</v>
      </c>
      <c r="Y51" s="2"/>
      <c r="Z51" s="6">
        <f t="shared" si="27"/>
        <v>0</v>
      </c>
    </row>
    <row r="52" spans="1:26" s="28" customFormat="1" outlineLevel="1" collapsed="1" x14ac:dyDescent="0.25">
      <c r="A52" s="27"/>
      <c r="B52" s="14" t="str">
        <f>CONCATENATE("     ","Advertising/Promo                                 ")</f>
        <v xml:space="preserve">     Advertising/Promo                                 </v>
      </c>
      <c r="C52" s="14"/>
      <c r="D52" s="1">
        <f>SUM(OSRRefD22_2x_0)</f>
        <v>17.64</v>
      </c>
      <c r="E52" s="1"/>
      <c r="F52" s="5">
        <f t="shared" ref="F52:F60" si="28">IF(D$12=0,0,D52/D$12)</f>
        <v>6.8743065777059683E-4</v>
      </c>
      <c r="G52" s="1"/>
      <c r="H52" s="1">
        <f>SUM(OSRRefH22_2x_0)</f>
        <v>50</v>
      </c>
      <c r="I52" s="1"/>
      <c r="J52" s="5">
        <f t="shared" ref="J52:J60" si="29">IF(H$12=0,0,H52/H$12)</f>
        <v>6.6484941160827071E-4</v>
      </c>
      <c r="K52" s="1"/>
      <c r="L52" s="1">
        <f t="shared" ref="L52:L60" si="30">+D52-H52</f>
        <v>-32.36</v>
      </c>
      <c r="M52" s="1"/>
      <c r="N52" s="5">
        <f t="shared" ref="N52:N60" si="31">IF(H52=0,0,L52/H52)</f>
        <v>-0.6472</v>
      </c>
      <c r="O52" s="14"/>
      <c r="P52" s="1">
        <f>SUM(OSRRefP22_2x_0)</f>
        <v>152.91999999999999</v>
      </c>
      <c r="Q52" s="1"/>
      <c r="R52" s="5">
        <f t="shared" ref="R52:R60" si="32">IF(P$12=0,0,P52/P$12)</f>
        <v>3.6258180437796421E-3</v>
      </c>
      <c r="S52" s="1"/>
      <c r="T52" s="1">
        <f>SUM(OSRRefT22_2x_0)</f>
        <v>150</v>
      </c>
      <c r="U52" s="1"/>
      <c r="V52" s="5">
        <f t="shared" ref="V52:V60" si="33">IF(T$12=0,0,T52/T$12)</f>
        <v>1.1578809235258246E-3</v>
      </c>
      <c r="W52" s="1"/>
      <c r="X52" s="1">
        <f t="shared" ref="X52:X60" si="34">+P52-T52</f>
        <v>2.9199999999999875</v>
      </c>
      <c r="Y52" s="1"/>
      <c r="Z52" s="5">
        <f t="shared" ref="Z52:Z60" si="35">IF(T52=0,0,X52/T52)</f>
        <v>1.9466666666666584E-2</v>
      </c>
    </row>
    <row r="53" spans="1:26" s="24" customFormat="1" hidden="1" outlineLevel="2" x14ac:dyDescent="0.25">
      <c r="A53" s="29"/>
      <c r="B53" s="11" t="str">
        <f>CONCATENATE("          ", "6362", " - ", "ADVERTISING EXPENSE")</f>
        <v xml:space="preserve">          6362 - ADVERTISING EXPENSE</v>
      </c>
      <c r="C53" s="11"/>
      <c r="D53" s="7">
        <v>17.64</v>
      </c>
      <c r="E53" s="2"/>
      <c r="F53" s="6">
        <f t="shared" si="28"/>
        <v>6.8743065777059683E-4</v>
      </c>
      <c r="G53" s="2"/>
      <c r="H53" s="7">
        <v>50</v>
      </c>
      <c r="I53" s="2"/>
      <c r="J53" s="6">
        <f t="shared" si="29"/>
        <v>6.6484941160827071E-4</v>
      </c>
      <c r="K53" s="2"/>
      <c r="L53" s="7">
        <f t="shared" si="30"/>
        <v>-32.36</v>
      </c>
      <c r="M53" s="2"/>
      <c r="N53" s="6">
        <f t="shared" si="31"/>
        <v>-0.6472</v>
      </c>
      <c r="O53" s="11"/>
      <c r="P53" s="7">
        <v>152.91999999999999</v>
      </c>
      <c r="Q53" s="2"/>
      <c r="R53" s="6">
        <f t="shared" si="32"/>
        <v>3.6258180437796421E-3</v>
      </c>
      <c r="S53" s="2"/>
      <c r="T53" s="7">
        <v>150</v>
      </c>
      <c r="U53" s="2"/>
      <c r="V53" s="6">
        <f t="shared" si="33"/>
        <v>1.1578809235258246E-3</v>
      </c>
      <c r="W53" s="2"/>
      <c r="X53" s="7">
        <f t="shared" si="34"/>
        <v>2.9199999999999875</v>
      </c>
      <c r="Y53" s="2"/>
      <c r="Z53" s="6">
        <f t="shared" si="35"/>
        <v>1.9466666666666584E-2</v>
      </c>
    </row>
    <row r="54" spans="1:26" s="28" customFormat="1" outlineLevel="1" collapsed="1" x14ac:dyDescent="0.25">
      <c r="A54" s="27"/>
      <c r="B54" s="14" t="str">
        <f>CONCATENATE("     ","Bad Debts/Over/Short                              ")</f>
        <v xml:space="preserve">     Bad Debts/Over/Short                              </v>
      </c>
      <c r="C54" s="14"/>
      <c r="D54" s="1">
        <f>SUM(OSRRefD22_3x_0)</f>
        <v>-1.67</v>
      </c>
      <c r="E54" s="1"/>
      <c r="F54" s="5">
        <f t="shared" si="28"/>
        <v>-6.5079886534971469E-5</v>
      </c>
      <c r="G54" s="1"/>
      <c r="H54" s="1">
        <f>SUM(OSRRefH22_3x_0)</f>
        <v>25</v>
      </c>
      <c r="I54" s="1"/>
      <c r="J54" s="5">
        <f t="shared" si="29"/>
        <v>3.3242470580413535E-4</v>
      </c>
      <c r="K54" s="1"/>
      <c r="L54" s="1">
        <f t="shared" si="30"/>
        <v>-26.67</v>
      </c>
      <c r="M54" s="1"/>
      <c r="N54" s="5">
        <f t="shared" si="31"/>
        <v>-1.0668</v>
      </c>
      <c r="O54" s="14"/>
      <c r="P54" s="1">
        <f>SUM(OSRRefP22_3x_0)</f>
        <v>-3.33</v>
      </c>
      <c r="Q54" s="1"/>
      <c r="R54" s="5">
        <f t="shared" si="32"/>
        <v>-7.8956147565957427E-5</v>
      </c>
      <c r="S54" s="1"/>
      <c r="T54" s="1">
        <f>SUM(OSRRefT22_3x_0)</f>
        <v>75</v>
      </c>
      <c r="U54" s="1"/>
      <c r="V54" s="5">
        <f t="shared" si="33"/>
        <v>5.7894046176291231E-4</v>
      </c>
      <c r="W54" s="1"/>
      <c r="X54" s="1">
        <f t="shared" si="34"/>
        <v>-78.33</v>
      </c>
      <c r="Y54" s="1"/>
      <c r="Z54" s="5">
        <f t="shared" si="35"/>
        <v>-1.0444</v>
      </c>
    </row>
    <row r="55" spans="1:26" s="24" customFormat="1" hidden="1" outlineLevel="2" x14ac:dyDescent="0.25">
      <c r="A55" s="29"/>
      <c r="B55" s="11" t="str">
        <f>CONCATENATE("          ", "6272", " - ", "CASH (OVER/SHORT)")</f>
        <v xml:space="preserve">          6272 - CASH (OVER/SHORT)</v>
      </c>
      <c r="C55" s="11"/>
      <c r="D55" s="7">
        <v>-1.67</v>
      </c>
      <c r="E55" s="2"/>
      <c r="F55" s="6">
        <f t="shared" si="28"/>
        <v>-6.5079886534971469E-5</v>
      </c>
      <c r="G55" s="2"/>
      <c r="H55" s="7">
        <v>25</v>
      </c>
      <c r="I55" s="2"/>
      <c r="J55" s="6">
        <f t="shared" si="29"/>
        <v>3.3242470580413535E-4</v>
      </c>
      <c r="K55" s="2"/>
      <c r="L55" s="7">
        <f t="shared" si="30"/>
        <v>-26.67</v>
      </c>
      <c r="M55" s="2"/>
      <c r="N55" s="6">
        <f t="shared" si="31"/>
        <v>-1.0668</v>
      </c>
      <c r="O55" s="11"/>
      <c r="P55" s="7">
        <v>-3.33</v>
      </c>
      <c r="Q55" s="2"/>
      <c r="R55" s="6">
        <f t="shared" si="32"/>
        <v>-7.8956147565957427E-5</v>
      </c>
      <c r="S55" s="2"/>
      <c r="T55" s="7">
        <v>75</v>
      </c>
      <c r="U55" s="2"/>
      <c r="V55" s="6">
        <f t="shared" si="33"/>
        <v>5.7894046176291231E-4</v>
      </c>
      <c r="W55" s="2"/>
      <c r="X55" s="7">
        <f t="shared" si="34"/>
        <v>-78.33</v>
      </c>
      <c r="Y55" s="2"/>
      <c r="Z55" s="6">
        <f t="shared" si="35"/>
        <v>-1.0444</v>
      </c>
    </row>
    <row r="56" spans="1:26" s="28" customFormat="1" outlineLevel="1" collapsed="1" x14ac:dyDescent="0.25">
      <c r="A56" s="27"/>
      <c r="B56" s="14" t="str">
        <f>CONCATENATE("     ","Bank/card Fees                                    ")</f>
        <v xml:space="preserve">     Bank/card Fees                                    </v>
      </c>
      <c r="C56" s="14"/>
      <c r="D56" s="1">
        <f>SUM(OSRRefD22_4x_0)</f>
        <v>0</v>
      </c>
      <c r="E56" s="1"/>
      <c r="F56" s="5">
        <f t="shared" si="28"/>
        <v>0</v>
      </c>
      <c r="G56" s="1"/>
      <c r="H56" s="1">
        <f>SUM(OSRRefH22_4x_0)</f>
        <v>1395</v>
      </c>
      <c r="I56" s="1"/>
      <c r="J56" s="5">
        <f t="shared" si="29"/>
        <v>1.8549298583870753E-2</v>
      </c>
      <c r="K56" s="1"/>
      <c r="L56" s="1">
        <f t="shared" si="30"/>
        <v>-1395</v>
      </c>
      <c r="M56" s="1"/>
      <c r="N56" s="5">
        <f t="shared" si="31"/>
        <v>-1</v>
      </c>
      <c r="O56" s="14"/>
      <c r="P56" s="1">
        <f>SUM(OSRRefP22_4x_0)</f>
        <v>0</v>
      </c>
      <c r="Q56" s="1"/>
      <c r="R56" s="5">
        <f t="shared" si="32"/>
        <v>0</v>
      </c>
      <c r="S56" s="1"/>
      <c r="T56" s="1">
        <f>SUM(OSRRefT22_4x_0)</f>
        <v>2447</v>
      </c>
      <c r="U56" s="1"/>
      <c r="V56" s="5">
        <f t="shared" si="33"/>
        <v>1.8888897465784617E-2</v>
      </c>
      <c r="W56" s="1"/>
      <c r="X56" s="1">
        <f t="shared" si="34"/>
        <v>-2447</v>
      </c>
      <c r="Y56" s="1"/>
      <c r="Z56" s="5">
        <f t="shared" si="35"/>
        <v>-1</v>
      </c>
    </row>
    <row r="57" spans="1:26" s="24" customFormat="1" hidden="1" outlineLevel="2" x14ac:dyDescent="0.25">
      <c r="A57" s="29"/>
      <c r="B57" s="11" t="str">
        <f>CONCATENATE("          ", "6381", " - ", "BANK/CREDIT CARD FEES")</f>
        <v xml:space="preserve">          6381 - BANK/CREDIT CARD FEES</v>
      </c>
      <c r="C57" s="11"/>
      <c r="D57" s="7"/>
      <c r="E57" s="2"/>
      <c r="F57" s="6">
        <f t="shared" si="28"/>
        <v>0</v>
      </c>
      <c r="G57" s="2"/>
      <c r="H57" s="7">
        <v>1395</v>
      </c>
      <c r="I57" s="2"/>
      <c r="J57" s="6">
        <f t="shared" si="29"/>
        <v>1.8549298583870753E-2</v>
      </c>
      <c r="K57" s="2"/>
      <c r="L57" s="7">
        <f t="shared" si="30"/>
        <v>-1395</v>
      </c>
      <c r="M57" s="2"/>
      <c r="N57" s="6">
        <f t="shared" si="31"/>
        <v>-1</v>
      </c>
      <c r="O57" s="11"/>
      <c r="P57" s="7"/>
      <c r="Q57" s="2"/>
      <c r="R57" s="6">
        <f t="shared" si="32"/>
        <v>0</v>
      </c>
      <c r="S57" s="2"/>
      <c r="T57" s="7">
        <v>2447</v>
      </c>
      <c r="U57" s="2"/>
      <c r="V57" s="6">
        <f t="shared" si="33"/>
        <v>1.8888897465784617E-2</v>
      </c>
      <c r="W57" s="2"/>
      <c r="X57" s="7">
        <f t="shared" si="34"/>
        <v>-2447</v>
      </c>
      <c r="Y57" s="2"/>
      <c r="Z57" s="6">
        <f t="shared" si="35"/>
        <v>-1</v>
      </c>
    </row>
    <row r="58" spans="1:26" s="28" customFormat="1" outlineLevel="1" collapsed="1" x14ac:dyDescent="0.25">
      <c r="A58" s="27"/>
      <c r="B58" s="14" t="str">
        <f>CONCATENATE("     ","Discounts and Markdowns                           ")</f>
        <v xml:space="preserve">     Discounts and Markdowns                           </v>
      </c>
      <c r="C58" s="14"/>
      <c r="D58" s="1">
        <f>SUM(OSRRefD22_5x_0)</f>
        <v>69.38</v>
      </c>
      <c r="E58" s="1"/>
      <c r="F58" s="5">
        <f t="shared" si="28"/>
        <v>2.7037380405965988E-3</v>
      </c>
      <c r="G58" s="1"/>
      <c r="H58" s="1">
        <f>SUM(OSRRefH22_5x_0)</f>
        <v>0</v>
      </c>
      <c r="I58" s="1"/>
      <c r="J58" s="5">
        <f t="shared" si="29"/>
        <v>0</v>
      </c>
      <c r="K58" s="1"/>
      <c r="L58" s="1">
        <f t="shared" si="30"/>
        <v>69.38</v>
      </c>
      <c r="M58" s="1"/>
      <c r="N58" s="5">
        <f t="shared" si="31"/>
        <v>0</v>
      </c>
      <c r="O58" s="14"/>
      <c r="P58" s="1">
        <f>SUM(OSRRefP22_5x_0)</f>
        <v>0</v>
      </c>
      <c r="Q58" s="1"/>
      <c r="R58" s="5">
        <f t="shared" si="32"/>
        <v>0</v>
      </c>
      <c r="S58" s="1"/>
      <c r="T58" s="1">
        <f>SUM(OSRRefT22_5x_0)</f>
        <v>0</v>
      </c>
      <c r="U58" s="1"/>
      <c r="V58" s="5">
        <f t="shared" si="33"/>
        <v>0</v>
      </c>
      <c r="W58" s="1"/>
      <c r="X58" s="1">
        <f t="shared" si="34"/>
        <v>0</v>
      </c>
      <c r="Y58" s="1"/>
      <c r="Z58" s="5">
        <f t="shared" si="35"/>
        <v>0</v>
      </c>
    </row>
    <row r="59" spans="1:26" s="24" customFormat="1" hidden="1" outlineLevel="2" x14ac:dyDescent="0.25">
      <c r="A59" s="29"/>
      <c r="B59" s="11" t="str">
        <f>CONCATENATE("          ", "6382", " - ", "DISCOUNTS/MARK DOWNS")</f>
        <v xml:space="preserve">          6382 - DISCOUNTS/MARK DOWNS</v>
      </c>
      <c r="C59" s="11"/>
      <c r="D59" s="7"/>
      <c r="E59" s="2"/>
      <c r="F59" s="6">
        <f t="shared" si="28"/>
        <v>0</v>
      </c>
      <c r="G59" s="2"/>
      <c r="H59" s="7"/>
      <c r="I59" s="2"/>
      <c r="J59" s="6">
        <f t="shared" si="29"/>
        <v>0</v>
      </c>
      <c r="K59" s="2"/>
      <c r="L59" s="7">
        <f t="shared" si="30"/>
        <v>0</v>
      </c>
      <c r="M59" s="2"/>
      <c r="N59" s="6">
        <f t="shared" si="31"/>
        <v>0</v>
      </c>
      <c r="O59" s="11"/>
      <c r="P59" s="7"/>
      <c r="Q59" s="2"/>
      <c r="R59" s="6">
        <f t="shared" si="32"/>
        <v>0</v>
      </c>
      <c r="S59" s="2"/>
      <c r="T59" s="7">
        <v>0</v>
      </c>
      <c r="U59" s="2"/>
      <c r="V59" s="6">
        <f t="shared" si="33"/>
        <v>0</v>
      </c>
      <c r="W59" s="2"/>
      <c r="X59" s="7">
        <f t="shared" si="34"/>
        <v>0</v>
      </c>
      <c r="Y59" s="2"/>
      <c r="Z59" s="6">
        <f t="shared" si="35"/>
        <v>0</v>
      </c>
    </row>
    <row r="60" spans="1:26" s="24" customFormat="1" hidden="1" outlineLevel="2" x14ac:dyDescent="0.25">
      <c r="A60" s="29"/>
      <c r="B60" s="11" t="str">
        <f>CONCATENATE("          ", "9175", " - ", "EARNED DISCOUNTS")</f>
        <v xml:space="preserve">          9175 - EARNED DISCOUNTS</v>
      </c>
      <c r="C60" s="11"/>
      <c r="D60" s="7">
        <v>69.38</v>
      </c>
      <c r="E60" s="2"/>
      <c r="F60" s="6">
        <f t="shared" si="28"/>
        <v>2.7037380405965988E-3</v>
      </c>
      <c r="G60" s="2"/>
      <c r="H60" s="7"/>
      <c r="I60" s="2"/>
      <c r="J60" s="6">
        <f t="shared" si="29"/>
        <v>0</v>
      </c>
      <c r="K60" s="2"/>
      <c r="L60" s="7">
        <f t="shared" si="30"/>
        <v>69.38</v>
      </c>
      <c r="M60" s="2"/>
      <c r="N60" s="6">
        <f t="shared" si="31"/>
        <v>0</v>
      </c>
      <c r="O60" s="11"/>
      <c r="P60" s="7">
        <v>0</v>
      </c>
      <c r="Q60" s="2"/>
      <c r="R60" s="6">
        <f t="shared" si="32"/>
        <v>0</v>
      </c>
      <c r="S60" s="2"/>
      <c r="T60" s="7"/>
      <c r="U60" s="2"/>
      <c r="V60" s="6">
        <f t="shared" si="33"/>
        <v>0</v>
      </c>
      <c r="W60" s="2"/>
      <c r="X60" s="7">
        <f t="shared" si="34"/>
        <v>0</v>
      </c>
      <c r="Y60" s="2"/>
      <c r="Z60" s="6">
        <f t="shared" si="35"/>
        <v>0</v>
      </c>
    </row>
    <row r="61" spans="1:26" s="28" customFormat="1" outlineLevel="1" collapsed="1" x14ac:dyDescent="0.25">
      <c r="A61" s="27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SUM(OSRRefD22_6x_0)</f>
        <v>34.5</v>
      </c>
      <c r="E61" s="1"/>
      <c r="F61" s="5">
        <f t="shared" ref="F61:F69" si="36">IF(D$12=0,0,D61/D$12)</f>
        <v>1.3444647218302489E-3</v>
      </c>
      <c r="G61" s="1"/>
      <c r="H61" s="1">
        <f>SUM(OSRRefH22_6x_0)</f>
        <v>0</v>
      </c>
      <c r="I61" s="1"/>
      <c r="J61" s="5">
        <f t="shared" ref="J61:J69" si="37">IF(H$12=0,0,H61/H$12)</f>
        <v>0</v>
      </c>
      <c r="K61" s="1"/>
      <c r="L61" s="1">
        <f t="shared" ref="L61:L69" si="38">+D61-H61</f>
        <v>34.5</v>
      </c>
      <c r="M61" s="1"/>
      <c r="N61" s="5">
        <f t="shared" ref="N61:N69" si="39">IF(H61=0,0,L61/H61)</f>
        <v>0</v>
      </c>
      <c r="O61" s="14"/>
      <c r="P61" s="1">
        <f>SUM(OSRRefP22_6x_0)</f>
        <v>54.5</v>
      </c>
      <c r="Q61" s="1"/>
      <c r="R61" s="5">
        <f t="shared" ref="R61:R69" si="40">IF(P$12=0,0,P61/P$12)</f>
        <v>1.2922252379413452E-3</v>
      </c>
      <c r="S61" s="1"/>
      <c r="T61" s="1">
        <f>SUM(OSRRefT22_6x_0)</f>
        <v>0</v>
      </c>
      <c r="U61" s="1"/>
      <c r="V61" s="5">
        <f t="shared" ref="V61:V69" si="41">IF(T$12=0,0,T61/T$12)</f>
        <v>0</v>
      </c>
      <c r="W61" s="1"/>
      <c r="X61" s="1">
        <f t="shared" ref="X61:X69" si="42">+P61-T61</f>
        <v>54.5</v>
      </c>
      <c r="Y61" s="1"/>
      <c r="Z61" s="5">
        <f t="shared" ref="Z61:Z69" si="43">IF(T61=0,0,X61/T61)</f>
        <v>0</v>
      </c>
    </row>
    <row r="62" spans="1:26" s="24" customFormat="1" hidden="1" outlineLevel="2" x14ac:dyDescent="0.25">
      <c r="A62" s="29"/>
      <c r="B62" s="11" t="str">
        <f>CONCATENATE("          ", "6307", " - ", "POSTAGE")</f>
        <v xml:space="preserve">          6307 - POSTAGE</v>
      </c>
      <c r="C62" s="11"/>
      <c r="D62" s="7">
        <v>34.5</v>
      </c>
      <c r="E62" s="2"/>
      <c r="F62" s="6">
        <f t="shared" si="36"/>
        <v>1.3444647218302489E-3</v>
      </c>
      <c r="G62" s="2"/>
      <c r="H62" s="7"/>
      <c r="I62" s="2"/>
      <c r="J62" s="6">
        <f t="shared" si="37"/>
        <v>0</v>
      </c>
      <c r="K62" s="2"/>
      <c r="L62" s="7">
        <f t="shared" si="38"/>
        <v>34.5</v>
      </c>
      <c r="M62" s="2"/>
      <c r="N62" s="6">
        <f t="shared" si="39"/>
        <v>0</v>
      </c>
      <c r="O62" s="11"/>
      <c r="P62" s="7">
        <v>54.5</v>
      </c>
      <c r="Q62" s="2"/>
      <c r="R62" s="6">
        <f t="shared" si="40"/>
        <v>1.2922252379413452E-3</v>
      </c>
      <c r="S62" s="2"/>
      <c r="T62" s="7"/>
      <c r="U62" s="2"/>
      <c r="V62" s="6">
        <f t="shared" si="41"/>
        <v>0</v>
      </c>
      <c r="W62" s="2"/>
      <c r="X62" s="7">
        <f t="shared" si="42"/>
        <v>54.5</v>
      </c>
      <c r="Y62" s="2"/>
      <c r="Z62" s="6">
        <f t="shared" si="43"/>
        <v>0</v>
      </c>
    </row>
    <row r="63" spans="1:26" s="28" customFormat="1" outlineLevel="1" collapsed="1" x14ac:dyDescent="0.25">
      <c r="A63" s="27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SUM(OSRRefD22_7x_0)</f>
        <v>0</v>
      </c>
      <c r="E63" s="1"/>
      <c r="F63" s="5">
        <f t="shared" si="36"/>
        <v>0</v>
      </c>
      <c r="G63" s="1"/>
      <c r="H63" s="1">
        <f>SUM(OSRRefH22_7x_0)</f>
        <v>0</v>
      </c>
      <c r="I63" s="1"/>
      <c r="J63" s="5">
        <f t="shared" si="37"/>
        <v>0</v>
      </c>
      <c r="K63" s="1"/>
      <c r="L63" s="1">
        <f t="shared" si="38"/>
        <v>0</v>
      </c>
      <c r="M63" s="1"/>
      <c r="N63" s="5">
        <f t="shared" si="39"/>
        <v>0</v>
      </c>
      <c r="O63" s="14"/>
      <c r="P63" s="1">
        <f>SUM(OSRRefP22_7x_0)</f>
        <v>228.04</v>
      </c>
      <c r="Q63" s="1"/>
      <c r="R63" s="5">
        <f t="shared" si="40"/>
        <v>5.4069549222044832E-3</v>
      </c>
      <c r="S63" s="1"/>
      <c r="T63" s="1">
        <f>SUM(OSRRefT22_7x_0)</f>
        <v>0</v>
      </c>
      <c r="U63" s="1"/>
      <c r="V63" s="5">
        <f t="shared" si="41"/>
        <v>0</v>
      </c>
      <c r="W63" s="1"/>
      <c r="X63" s="1">
        <f t="shared" si="42"/>
        <v>228.04</v>
      </c>
      <c r="Y63" s="1"/>
      <c r="Z63" s="5">
        <f t="shared" si="43"/>
        <v>0</v>
      </c>
    </row>
    <row r="64" spans="1:26" s="24" customFormat="1" hidden="1" outlineLevel="2" x14ac:dyDescent="0.25">
      <c r="A64" s="29"/>
      <c r="B64" s="11" t="str">
        <f>CONCATENATE("          ", "6279", " - ", "GENERAL EXPENSE")</f>
        <v xml:space="preserve">          6279 - GENERAL EXPENSE</v>
      </c>
      <c r="C64" s="11"/>
      <c r="D64" s="7"/>
      <c r="E64" s="2"/>
      <c r="F64" s="6">
        <f t="shared" si="36"/>
        <v>0</v>
      </c>
      <c r="G64" s="2"/>
      <c r="H64" s="7">
        <v>0</v>
      </c>
      <c r="I64" s="2"/>
      <c r="J64" s="6">
        <f t="shared" si="37"/>
        <v>0</v>
      </c>
      <c r="K64" s="2"/>
      <c r="L64" s="7">
        <f t="shared" si="38"/>
        <v>0</v>
      </c>
      <c r="M64" s="2"/>
      <c r="N64" s="6">
        <f t="shared" si="39"/>
        <v>0</v>
      </c>
      <c r="O64" s="11"/>
      <c r="P64" s="7">
        <v>228.04</v>
      </c>
      <c r="Q64" s="2"/>
      <c r="R64" s="6">
        <f t="shared" si="40"/>
        <v>5.4069549222044832E-3</v>
      </c>
      <c r="S64" s="2"/>
      <c r="T64" s="7">
        <v>0</v>
      </c>
      <c r="U64" s="2"/>
      <c r="V64" s="6">
        <f t="shared" si="41"/>
        <v>0</v>
      </c>
      <c r="W64" s="2"/>
      <c r="X64" s="7">
        <f t="shared" si="42"/>
        <v>228.04</v>
      </c>
      <c r="Y64" s="2"/>
      <c r="Z64" s="6">
        <f t="shared" si="43"/>
        <v>0</v>
      </c>
    </row>
    <row r="65" spans="1:26" s="28" customFormat="1" outlineLevel="1" collapsed="1" x14ac:dyDescent="0.25">
      <c r="A65" s="27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SUM(OSRRefD22_8x_0)</f>
        <v>650</v>
      </c>
      <c r="E65" s="1"/>
      <c r="F65" s="5">
        <f t="shared" si="36"/>
        <v>2.5330494759120629E-2</v>
      </c>
      <c r="G65" s="1"/>
      <c r="H65" s="1">
        <f>SUM(OSRRefH22_8x_0)</f>
        <v>650</v>
      </c>
      <c r="I65" s="1"/>
      <c r="J65" s="5">
        <f t="shared" si="37"/>
        <v>8.6430423509075201E-3</v>
      </c>
      <c r="K65" s="1"/>
      <c r="L65" s="1">
        <f t="shared" si="38"/>
        <v>0</v>
      </c>
      <c r="M65" s="1"/>
      <c r="N65" s="5">
        <f t="shared" si="39"/>
        <v>0</v>
      </c>
      <c r="O65" s="14"/>
      <c r="P65" s="1">
        <f>SUM(OSRRefP22_8x_0)</f>
        <v>1950</v>
      </c>
      <c r="Q65" s="1"/>
      <c r="R65" s="5">
        <f t="shared" si="40"/>
        <v>4.6235581907993081E-2</v>
      </c>
      <c r="S65" s="1"/>
      <c r="T65" s="1">
        <f>SUM(OSRRefT22_8x_0)</f>
        <v>1950</v>
      </c>
      <c r="U65" s="1"/>
      <c r="V65" s="5">
        <f t="shared" si="41"/>
        <v>1.505245200583572E-2</v>
      </c>
      <c r="W65" s="1"/>
      <c r="X65" s="1">
        <f t="shared" si="42"/>
        <v>0</v>
      </c>
      <c r="Y65" s="1"/>
      <c r="Z65" s="5">
        <f t="shared" si="43"/>
        <v>0</v>
      </c>
    </row>
    <row r="66" spans="1:26" s="24" customFormat="1" hidden="1" outlineLevel="2" x14ac:dyDescent="0.25">
      <c r="A66" s="29"/>
      <c r="B66" s="11" t="str">
        <f>CONCATENATE("          ", "6408", " - ", "INVENTORY ADJUSTMENT")</f>
        <v xml:space="preserve">          6408 - INVENTORY ADJUSTMENT</v>
      </c>
      <c r="C66" s="11"/>
      <c r="D66" s="7">
        <v>650</v>
      </c>
      <c r="E66" s="2"/>
      <c r="F66" s="6">
        <f t="shared" si="36"/>
        <v>2.5330494759120629E-2</v>
      </c>
      <c r="G66" s="2"/>
      <c r="H66" s="7">
        <v>650</v>
      </c>
      <c r="I66" s="2"/>
      <c r="J66" s="6">
        <f t="shared" si="37"/>
        <v>8.6430423509075201E-3</v>
      </c>
      <c r="K66" s="2"/>
      <c r="L66" s="7">
        <f t="shared" si="38"/>
        <v>0</v>
      </c>
      <c r="M66" s="2"/>
      <c r="N66" s="6">
        <f t="shared" si="39"/>
        <v>0</v>
      </c>
      <c r="O66" s="11"/>
      <c r="P66" s="7">
        <v>1950</v>
      </c>
      <c r="Q66" s="2"/>
      <c r="R66" s="6">
        <f t="shared" si="40"/>
        <v>4.6235581907993081E-2</v>
      </c>
      <c r="S66" s="2"/>
      <c r="T66" s="7">
        <v>1950</v>
      </c>
      <c r="U66" s="2"/>
      <c r="V66" s="6">
        <f t="shared" si="41"/>
        <v>1.505245200583572E-2</v>
      </c>
      <c r="W66" s="2"/>
      <c r="X66" s="7">
        <f t="shared" si="42"/>
        <v>0</v>
      </c>
      <c r="Y66" s="2"/>
      <c r="Z66" s="6">
        <f t="shared" si="43"/>
        <v>0</v>
      </c>
    </row>
    <row r="67" spans="1:26" s="28" customFormat="1" outlineLevel="1" collapsed="1" x14ac:dyDescent="0.25">
      <c r="A67" s="27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SUM(OSRRefD22_9x_0)</f>
        <v>61.11</v>
      </c>
      <c r="E67" s="1"/>
      <c r="F67" s="5">
        <f t="shared" si="36"/>
        <v>2.3814562072767102E-3</v>
      </c>
      <c r="G67" s="1"/>
      <c r="H67" s="1">
        <f>SUM(OSRRefH22_9x_0)</f>
        <v>0</v>
      </c>
      <c r="I67" s="1"/>
      <c r="J67" s="5">
        <f t="shared" si="37"/>
        <v>0</v>
      </c>
      <c r="K67" s="1"/>
      <c r="L67" s="1">
        <f t="shared" si="38"/>
        <v>61.11</v>
      </c>
      <c r="M67" s="1"/>
      <c r="N67" s="5">
        <f t="shared" si="39"/>
        <v>0</v>
      </c>
      <c r="O67" s="14"/>
      <c r="P67" s="1">
        <f>SUM(OSRRefP22_9x_0)</f>
        <v>234.79000000000002</v>
      </c>
      <c r="Q67" s="1"/>
      <c r="R67" s="5">
        <f t="shared" si="40"/>
        <v>5.5670011672706143E-3</v>
      </c>
      <c r="S67" s="1"/>
      <c r="T67" s="1">
        <f>SUM(OSRRefT22_9x_0)</f>
        <v>0</v>
      </c>
      <c r="U67" s="1"/>
      <c r="V67" s="5">
        <f t="shared" si="41"/>
        <v>0</v>
      </c>
      <c r="W67" s="1"/>
      <c r="X67" s="1">
        <f t="shared" si="42"/>
        <v>234.79000000000002</v>
      </c>
      <c r="Y67" s="1"/>
      <c r="Z67" s="5">
        <f t="shared" si="43"/>
        <v>0</v>
      </c>
    </row>
    <row r="68" spans="1:26" s="24" customFormat="1" hidden="1" outlineLevel="2" x14ac:dyDescent="0.25">
      <c r="A68" s="29"/>
      <c r="B68" s="11" t="str">
        <f>CONCATENATE("          ", "6373", " - ", "MAINTENANCE CONTRACTS")</f>
        <v xml:space="preserve">          6373 - MAINTENANCE CONTRACTS</v>
      </c>
      <c r="C68" s="11"/>
      <c r="D68" s="7">
        <v>61.11</v>
      </c>
      <c r="E68" s="2"/>
      <c r="F68" s="6">
        <f t="shared" si="36"/>
        <v>2.3814562072767102E-3</v>
      </c>
      <c r="G68" s="2"/>
      <c r="H68" s="7"/>
      <c r="I68" s="2"/>
      <c r="J68" s="6">
        <f t="shared" si="37"/>
        <v>0</v>
      </c>
      <c r="K68" s="2"/>
      <c r="L68" s="7">
        <f t="shared" si="38"/>
        <v>61.11</v>
      </c>
      <c r="M68" s="2"/>
      <c r="N68" s="6">
        <f t="shared" si="39"/>
        <v>0</v>
      </c>
      <c r="O68" s="11"/>
      <c r="P68" s="7">
        <v>61.11</v>
      </c>
      <c r="Q68" s="2"/>
      <c r="R68" s="6">
        <f t="shared" si="40"/>
        <v>1.4489520053320294E-3</v>
      </c>
      <c r="S68" s="2"/>
      <c r="T68" s="7"/>
      <c r="U68" s="2"/>
      <c r="V68" s="6">
        <f t="shared" si="41"/>
        <v>0</v>
      </c>
      <c r="W68" s="2"/>
      <c r="X68" s="7">
        <f t="shared" si="42"/>
        <v>61.11</v>
      </c>
      <c r="Y68" s="2"/>
      <c r="Z68" s="6">
        <f t="shared" si="43"/>
        <v>0</v>
      </c>
    </row>
    <row r="69" spans="1:26" s="24" customFormat="1" hidden="1" outlineLevel="2" x14ac:dyDescent="0.25">
      <c r="A69" s="29"/>
      <c r="B69" s="11" t="str">
        <f>CONCATENATE("          ", "6375", " - ", "OUTSIDE REPAIRS &amp; MAINTENANCE")</f>
        <v xml:space="preserve">          6375 - OUTSIDE REPAIRS &amp; MAINTENANCE</v>
      </c>
      <c r="C69" s="11"/>
      <c r="D69" s="7"/>
      <c r="E69" s="2"/>
      <c r="F69" s="6">
        <f t="shared" si="36"/>
        <v>0</v>
      </c>
      <c r="G69" s="2"/>
      <c r="H69" s="7"/>
      <c r="I69" s="2"/>
      <c r="J69" s="6">
        <f t="shared" si="37"/>
        <v>0</v>
      </c>
      <c r="K69" s="2"/>
      <c r="L69" s="7">
        <f t="shared" si="38"/>
        <v>0</v>
      </c>
      <c r="M69" s="2"/>
      <c r="N69" s="6">
        <f t="shared" si="39"/>
        <v>0</v>
      </c>
      <c r="O69" s="11"/>
      <c r="P69" s="7">
        <v>173.68</v>
      </c>
      <c r="Q69" s="2"/>
      <c r="R69" s="6">
        <f t="shared" si="40"/>
        <v>4.1180491619385844E-3</v>
      </c>
      <c r="S69" s="2"/>
      <c r="T69" s="7"/>
      <c r="U69" s="2"/>
      <c r="V69" s="6">
        <f t="shared" si="41"/>
        <v>0</v>
      </c>
      <c r="W69" s="2"/>
      <c r="X69" s="7">
        <f t="shared" si="42"/>
        <v>173.68</v>
      </c>
      <c r="Y69" s="2"/>
      <c r="Z69" s="6">
        <f t="shared" si="43"/>
        <v>0</v>
      </c>
    </row>
    <row r="70" spans="1:26" s="28" customFormat="1" outlineLevel="1" collapsed="1" x14ac:dyDescent="0.25">
      <c r="A70" s="27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SUM(OSRRefD22_10x_0)</f>
        <v>312.45</v>
      </c>
      <c r="E70" s="1"/>
      <c r="F70" s="5">
        <f t="shared" ref="F70:F72" si="44">IF(D$12=0,0,D70/D$12)</f>
        <v>1.2176173980749602E-2</v>
      </c>
      <c r="G70" s="1"/>
      <c r="H70" s="1">
        <f>SUM(OSRRefH22_10x_0)</f>
        <v>0</v>
      </c>
      <c r="I70" s="1"/>
      <c r="J70" s="5">
        <f t="shared" ref="J70:J72" si="45">IF(H$12=0,0,H70/H$12)</f>
        <v>0</v>
      </c>
      <c r="K70" s="1"/>
      <c r="L70" s="1">
        <f t="shared" ref="L70:L72" si="46">+D70-H70</f>
        <v>312.45</v>
      </c>
      <c r="M70" s="1"/>
      <c r="N70" s="5">
        <f t="shared" ref="N70:N72" si="47">IF(H70=0,0,L70/H70)</f>
        <v>0</v>
      </c>
      <c r="O70" s="14"/>
      <c r="P70" s="1">
        <f>SUM(OSRRefP22_10x_0)</f>
        <v>2613.94</v>
      </c>
      <c r="Q70" s="1"/>
      <c r="R70" s="5">
        <f t="shared" ref="R70:R72" si="48">IF(P$12=0,0,P70/P$12)</f>
        <v>6.1977967678245871E-2</v>
      </c>
      <c r="S70" s="1"/>
      <c r="T70" s="1">
        <f>SUM(OSRRefT22_10x_0)</f>
        <v>0</v>
      </c>
      <c r="U70" s="1"/>
      <c r="V70" s="5">
        <f t="shared" ref="V70:V72" si="49">IF(T$12=0,0,T70/T$12)</f>
        <v>0</v>
      </c>
      <c r="W70" s="1"/>
      <c r="X70" s="1">
        <f t="shared" ref="X70:X72" si="50">+P70-T70</f>
        <v>2613.94</v>
      </c>
      <c r="Y70" s="1"/>
      <c r="Z70" s="5">
        <f t="shared" ref="Z70:Z72" si="51">IF(T70=0,0,X70/T70)</f>
        <v>0</v>
      </c>
    </row>
    <row r="71" spans="1:26" s="24" customFormat="1" hidden="1" outlineLevel="2" x14ac:dyDescent="0.25">
      <c r="A71" s="29"/>
      <c r="B71" s="11" t="str">
        <f>CONCATENATE("          ", "6282", " - ", "JANITORIAL/EXTERMINATOR EXPENS")</f>
        <v xml:space="preserve">          6282 - JANITORIAL/EXTERMINATOR EXPENS</v>
      </c>
      <c r="C71" s="11"/>
      <c r="D71" s="7">
        <v>271.3</v>
      </c>
      <c r="E71" s="2"/>
      <c r="F71" s="6">
        <f t="shared" si="44"/>
        <v>1.057255881253758E-2</v>
      </c>
      <c r="G71" s="2"/>
      <c r="H71" s="7"/>
      <c r="I71" s="2"/>
      <c r="J71" s="6">
        <f t="shared" si="45"/>
        <v>0</v>
      </c>
      <c r="K71" s="2"/>
      <c r="L71" s="7">
        <f t="shared" si="46"/>
        <v>271.3</v>
      </c>
      <c r="M71" s="2"/>
      <c r="N71" s="6">
        <f t="shared" si="47"/>
        <v>0</v>
      </c>
      <c r="O71" s="11"/>
      <c r="P71" s="7">
        <v>271.3</v>
      </c>
      <c r="Q71" s="2"/>
      <c r="R71" s="6">
        <f t="shared" si="48"/>
        <v>6.4326735239171916E-3</v>
      </c>
      <c r="S71" s="2"/>
      <c r="T71" s="7"/>
      <c r="U71" s="2"/>
      <c r="V71" s="6">
        <f t="shared" si="49"/>
        <v>0</v>
      </c>
      <c r="W71" s="2"/>
      <c r="X71" s="7">
        <f t="shared" si="50"/>
        <v>271.3</v>
      </c>
      <c r="Y71" s="2"/>
      <c r="Z71" s="6">
        <f t="shared" si="51"/>
        <v>0</v>
      </c>
    </row>
    <row r="72" spans="1:26" s="24" customFormat="1" hidden="1" outlineLevel="2" x14ac:dyDescent="0.25">
      <c r="A72" s="29"/>
      <c r="B72" s="11" t="str">
        <f>CONCATENATE("          ", "6285", " - ", "JANITORIAL SERVICES")</f>
        <v xml:space="preserve">          6285 - JANITORIAL SERVICES</v>
      </c>
      <c r="C72" s="11"/>
      <c r="D72" s="7">
        <v>41.15</v>
      </c>
      <c r="E72" s="2"/>
      <c r="F72" s="6">
        <f t="shared" si="44"/>
        <v>1.6036151682120214E-3</v>
      </c>
      <c r="G72" s="2"/>
      <c r="H72" s="7"/>
      <c r="I72" s="2"/>
      <c r="J72" s="6">
        <f t="shared" si="45"/>
        <v>0</v>
      </c>
      <c r="K72" s="2"/>
      <c r="L72" s="7">
        <f t="shared" si="46"/>
        <v>41.15</v>
      </c>
      <c r="M72" s="2"/>
      <c r="N72" s="6">
        <f t="shared" si="47"/>
        <v>0</v>
      </c>
      <c r="O72" s="11"/>
      <c r="P72" s="7">
        <v>2342.64</v>
      </c>
      <c r="Q72" s="2"/>
      <c r="R72" s="6">
        <f t="shared" si="48"/>
        <v>5.554529415432867E-2</v>
      </c>
      <c r="S72" s="2"/>
      <c r="T72" s="7"/>
      <c r="U72" s="2"/>
      <c r="V72" s="6">
        <f t="shared" si="49"/>
        <v>0</v>
      </c>
      <c r="W72" s="2"/>
      <c r="X72" s="7">
        <f t="shared" si="50"/>
        <v>2342.64</v>
      </c>
      <c r="Y72" s="2"/>
      <c r="Z72" s="6">
        <f t="shared" si="51"/>
        <v>0</v>
      </c>
    </row>
    <row r="73" spans="1:26" s="28" customFormat="1" outlineLevel="1" collapsed="1" x14ac:dyDescent="0.25">
      <c r="A73" s="27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SUM(OSRRefD22_11x_0)</f>
        <v>148.38999999999999</v>
      </c>
      <c r="E73" s="1"/>
      <c r="F73" s="5">
        <f t="shared" ref="F73:F76" si="52">IF(D$12=0,0,D73/D$12)</f>
        <v>5.7827571035475537E-3</v>
      </c>
      <c r="G73" s="1"/>
      <c r="H73" s="1">
        <f>SUM(OSRRefH22_11x_0)</f>
        <v>75</v>
      </c>
      <c r="I73" s="1"/>
      <c r="J73" s="5">
        <f t="shared" ref="J73:J76" si="53">IF(H$12=0,0,H73/H$12)</f>
        <v>9.97274117412406E-4</v>
      </c>
      <c r="K73" s="1"/>
      <c r="L73" s="1">
        <f t="shared" ref="L73:L76" si="54">+D73-H73</f>
        <v>73.389999999999986</v>
      </c>
      <c r="M73" s="1"/>
      <c r="N73" s="5">
        <f t="shared" ref="N73:N76" si="55">IF(H73=0,0,L73/H73)</f>
        <v>0.97853333333333314</v>
      </c>
      <c r="O73" s="14"/>
      <c r="P73" s="1">
        <f>SUM(OSRRefP22_11x_0)</f>
        <v>248.44</v>
      </c>
      <c r="Q73" s="1"/>
      <c r="R73" s="5">
        <f t="shared" ref="R73:R76" si="56">IF(P$12=0,0,P73/P$12)</f>
        <v>5.8906502406265646E-3</v>
      </c>
      <c r="S73" s="1"/>
      <c r="T73" s="1">
        <f>SUM(OSRRefT22_11x_0)</f>
        <v>225</v>
      </c>
      <c r="U73" s="1"/>
      <c r="V73" s="5">
        <f t="shared" ref="V73:V76" si="57">IF(T$12=0,0,T73/T$12)</f>
        <v>1.7368213852887368E-3</v>
      </c>
      <c r="W73" s="1"/>
      <c r="X73" s="1">
        <f t="shared" ref="X73:X76" si="58">+P73-T73</f>
        <v>23.439999999999998</v>
      </c>
      <c r="Y73" s="1"/>
      <c r="Z73" s="5">
        <f t="shared" ref="Z73:Z76" si="59">IF(T73=0,0,X73/T73)</f>
        <v>0.10417777777777777</v>
      </c>
    </row>
    <row r="74" spans="1:26" s="24" customFormat="1" hidden="1" outlineLevel="2" x14ac:dyDescent="0.25">
      <c r="A74" s="29"/>
      <c r="B74" s="11" t="str">
        <f>CONCATENATE("          ", "6235", " - ", "COVID-19 EXPENSES")</f>
        <v xml:space="preserve">          6235 - COVID-19 EXPENSES</v>
      </c>
      <c r="C74" s="11"/>
      <c r="D74" s="7"/>
      <c r="E74" s="2"/>
      <c r="F74" s="6">
        <f t="shared" si="52"/>
        <v>0</v>
      </c>
      <c r="G74" s="2"/>
      <c r="H74" s="7">
        <v>25</v>
      </c>
      <c r="I74" s="2"/>
      <c r="J74" s="6">
        <f t="shared" si="53"/>
        <v>3.3242470580413535E-4</v>
      </c>
      <c r="K74" s="2"/>
      <c r="L74" s="7">
        <f t="shared" si="54"/>
        <v>-25</v>
      </c>
      <c r="M74" s="2"/>
      <c r="N74" s="6">
        <f t="shared" si="55"/>
        <v>-1</v>
      </c>
      <c r="O74" s="11"/>
      <c r="P74" s="7"/>
      <c r="Q74" s="2"/>
      <c r="R74" s="6">
        <f t="shared" si="56"/>
        <v>0</v>
      </c>
      <c r="S74" s="2"/>
      <c r="T74" s="7">
        <v>75</v>
      </c>
      <c r="U74" s="2"/>
      <c r="V74" s="6">
        <f t="shared" si="57"/>
        <v>5.7894046176291231E-4</v>
      </c>
      <c r="W74" s="2"/>
      <c r="X74" s="7">
        <f t="shared" si="58"/>
        <v>-75</v>
      </c>
      <c r="Y74" s="2"/>
      <c r="Z74" s="6">
        <f t="shared" si="59"/>
        <v>-1</v>
      </c>
    </row>
    <row r="75" spans="1:26" s="24" customFormat="1" hidden="1" outlineLevel="2" x14ac:dyDescent="0.25">
      <c r="A75" s="29"/>
      <c r="B75" s="11" t="str">
        <f>CONCATENATE("          ", "6241", " - ", "OFFICE EXPENSE")</f>
        <v xml:space="preserve">          6241 - OFFICE EXPENSE</v>
      </c>
      <c r="C75" s="11"/>
      <c r="D75" s="7"/>
      <c r="E75" s="2"/>
      <c r="F75" s="6">
        <f t="shared" si="52"/>
        <v>0</v>
      </c>
      <c r="G75" s="2"/>
      <c r="H75" s="7">
        <v>25</v>
      </c>
      <c r="I75" s="2"/>
      <c r="J75" s="6">
        <f t="shared" si="53"/>
        <v>3.3242470580413535E-4</v>
      </c>
      <c r="K75" s="2"/>
      <c r="L75" s="7">
        <f t="shared" si="54"/>
        <v>-25</v>
      </c>
      <c r="M75" s="2"/>
      <c r="N75" s="6">
        <f t="shared" si="55"/>
        <v>-1</v>
      </c>
      <c r="O75" s="11"/>
      <c r="P75" s="7"/>
      <c r="Q75" s="2"/>
      <c r="R75" s="6">
        <f t="shared" si="56"/>
        <v>0</v>
      </c>
      <c r="S75" s="2"/>
      <c r="T75" s="7">
        <v>75</v>
      </c>
      <c r="U75" s="2"/>
      <c r="V75" s="6">
        <f t="shared" si="57"/>
        <v>5.7894046176291231E-4</v>
      </c>
      <c r="W75" s="2"/>
      <c r="X75" s="7">
        <f t="shared" si="58"/>
        <v>-75</v>
      </c>
      <c r="Y75" s="2"/>
      <c r="Z75" s="6">
        <f t="shared" si="59"/>
        <v>-1</v>
      </c>
    </row>
    <row r="76" spans="1:26" s="24" customFormat="1" hidden="1" outlineLevel="2" x14ac:dyDescent="0.25">
      <c r="A76" s="29"/>
      <c r="B76" s="11" t="str">
        <f>CONCATENATE("          ", "6247", " - ", "STORE SUPPLIES")</f>
        <v xml:space="preserve">          6247 - STORE SUPPLIES</v>
      </c>
      <c r="C76" s="11"/>
      <c r="D76" s="7">
        <v>148.38999999999999</v>
      </c>
      <c r="E76" s="2"/>
      <c r="F76" s="6">
        <f t="shared" si="52"/>
        <v>5.7827571035475537E-3</v>
      </c>
      <c r="G76" s="2"/>
      <c r="H76" s="7">
        <v>25</v>
      </c>
      <c r="I76" s="2"/>
      <c r="J76" s="6">
        <f t="shared" si="53"/>
        <v>3.3242470580413535E-4</v>
      </c>
      <c r="K76" s="2"/>
      <c r="L76" s="7">
        <f t="shared" si="54"/>
        <v>123.38999999999999</v>
      </c>
      <c r="M76" s="2"/>
      <c r="N76" s="6">
        <f t="shared" si="55"/>
        <v>4.9355999999999991</v>
      </c>
      <c r="O76" s="11"/>
      <c r="P76" s="7">
        <v>248.44</v>
      </c>
      <c r="Q76" s="2"/>
      <c r="R76" s="6">
        <f t="shared" si="56"/>
        <v>5.8906502406265646E-3</v>
      </c>
      <c r="S76" s="2"/>
      <c r="T76" s="7">
        <v>75</v>
      </c>
      <c r="U76" s="2"/>
      <c r="V76" s="6">
        <f t="shared" si="57"/>
        <v>5.7894046176291231E-4</v>
      </c>
      <c r="W76" s="2"/>
      <c r="X76" s="7">
        <f t="shared" si="58"/>
        <v>173.44</v>
      </c>
      <c r="Y76" s="2"/>
      <c r="Z76" s="6">
        <f t="shared" si="59"/>
        <v>2.3125333333333331</v>
      </c>
    </row>
    <row r="77" spans="1:26" s="28" customFormat="1" outlineLevel="1" collapsed="1" x14ac:dyDescent="0.25">
      <c r="A77" s="27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SUM(OSRRefD22_12x_0)</f>
        <v>53</v>
      </c>
      <c r="E77" s="1"/>
      <c r="F77" s="5">
        <f t="shared" ref="F77:F78" si="60">IF(D$12=0,0,D77/D$12)</f>
        <v>2.0654095726667589E-3</v>
      </c>
      <c r="G77" s="1"/>
      <c r="H77" s="1">
        <f>SUM(OSRRefH22_12x_0)</f>
        <v>60</v>
      </c>
      <c r="I77" s="1"/>
      <c r="J77" s="5">
        <f t="shared" ref="J77:J78" si="61">IF(H$12=0,0,H77/H$12)</f>
        <v>7.9781929392992485E-4</v>
      </c>
      <c r="K77" s="1"/>
      <c r="L77" s="1">
        <f t="shared" ref="L77:L78" si="62">+D77-H77</f>
        <v>-7</v>
      </c>
      <c r="M77" s="1"/>
      <c r="N77" s="5">
        <f t="shared" ref="N77:N78" si="63">IF(H77=0,0,L77/H77)</f>
        <v>-0.11666666666666667</v>
      </c>
      <c r="O77" s="14"/>
      <c r="P77" s="1">
        <f>SUM(OSRRefP22_12x_0)</f>
        <v>119</v>
      </c>
      <c r="Q77" s="1"/>
      <c r="R77" s="5">
        <f t="shared" ref="R77:R78" si="64">IF(P$12=0,0,P77/P$12)</f>
        <v>2.8215560241288086E-3</v>
      </c>
      <c r="S77" s="1"/>
      <c r="T77" s="1">
        <f>SUM(OSRRefT22_12x_0)</f>
        <v>180</v>
      </c>
      <c r="U77" s="1"/>
      <c r="V77" s="5">
        <f t="shared" ref="V77:V78" si="65">IF(T$12=0,0,T77/T$12)</f>
        <v>1.3894571082309895E-3</v>
      </c>
      <c r="W77" s="1"/>
      <c r="X77" s="1">
        <f t="shared" ref="X77:X78" si="66">+P77-T77</f>
        <v>-61</v>
      </c>
      <c r="Y77" s="1"/>
      <c r="Z77" s="5">
        <f t="shared" ref="Z77:Z78" si="67">IF(T77=0,0,X77/T77)</f>
        <v>-0.33888888888888891</v>
      </c>
    </row>
    <row r="78" spans="1:26" s="24" customFormat="1" hidden="1" outlineLevel="2" x14ac:dyDescent="0.25">
      <c r="A78" s="29"/>
      <c r="B78" s="11" t="str">
        <f>CONCATENATE("          ", "6309", " - ", "TELEPHONE")</f>
        <v xml:space="preserve">          6309 - TELEPHONE</v>
      </c>
      <c r="C78" s="11"/>
      <c r="D78" s="7">
        <v>53</v>
      </c>
      <c r="E78" s="2"/>
      <c r="F78" s="6">
        <f t="shared" si="60"/>
        <v>2.0654095726667589E-3</v>
      </c>
      <c r="G78" s="2"/>
      <c r="H78" s="7">
        <v>60</v>
      </c>
      <c r="I78" s="2"/>
      <c r="J78" s="6">
        <f t="shared" si="61"/>
        <v>7.9781929392992485E-4</v>
      </c>
      <c r="K78" s="2"/>
      <c r="L78" s="7">
        <f t="shared" si="62"/>
        <v>-7</v>
      </c>
      <c r="M78" s="2"/>
      <c r="N78" s="6">
        <f t="shared" si="63"/>
        <v>-0.11666666666666667</v>
      </c>
      <c r="O78" s="11"/>
      <c r="P78" s="7">
        <v>119</v>
      </c>
      <c r="Q78" s="2"/>
      <c r="R78" s="6">
        <f t="shared" si="64"/>
        <v>2.8215560241288086E-3</v>
      </c>
      <c r="S78" s="2"/>
      <c r="T78" s="7">
        <v>180</v>
      </c>
      <c r="U78" s="2"/>
      <c r="V78" s="6">
        <f t="shared" si="65"/>
        <v>1.3894571082309895E-3</v>
      </c>
      <c r="W78" s="2"/>
      <c r="X78" s="7">
        <f t="shared" si="66"/>
        <v>-61</v>
      </c>
      <c r="Y78" s="2"/>
      <c r="Z78" s="6">
        <f t="shared" si="67"/>
        <v>-0.33888888888888891</v>
      </c>
    </row>
    <row r="79" spans="1:26" s="58" customFormat="1" x14ac:dyDescent="0.25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6" t="s">
        <v>293</v>
      </c>
      <c r="C80" s="10"/>
      <c r="D80" s="4">
        <f>SUM(0)</f>
        <v>0</v>
      </c>
      <c r="E80" s="4"/>
      <c r="F80" s="12">
        <f>IF(D$12=0,0,D80/D$12)</f>
        <v>0</v>
      </c>
      <c r="G80" s="4"/>
      <c r="H80" s="4">
        <f>SUM(0)</f>
        <v>0</v>
      </c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>
        <f>SUM(0)</f>
        <v>0</v>
      </c>
      <c r="Q80" s="4"/>
      <c r="R80" s="12">
        <f>IF(P$12=0,0,P80/P$12)</f>
        <v>0</v>
      </c>
      <c r="S80" s="4"/>
      <c r="T80" s="4">
        <f>SUM(0)</f>
        <v>0</v>
      </c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5" t="s">
        <v>277</v>
      </c>
      <c r="C82" s="25"/>
      <c r="D82" s="21">
        <f>+D29-D31+D80</f>
        <v>9541.3600000000042</v>
      </c>
      <c r="E82" s="13"/>
      <c r="F82" s="20">
        <f>IF(D$12=0,0,D82/D$12)</f>
        <v>0.37182672226905128</v>
      </c>
      <c r="G82" s="13"/>
      <c r="H82" s="21">
        <f>+H29-H31+H80</f>
        <v>22244.384399999999</v>
      </c>
      <c r="I82" s="13"/>
      <c r="J82" s="20">
        <f>IF(H$12=0,0,H82/H$12)</f>
        <v>0.29578331759856391</v>
      </c>
      <c r="K82" s="16"/>
      <c r="L82" s="21">
        <f>+D82-H82</f>
        <v>-12703.024399999995</v>
      </c>
      <c r="M82" s="16"/>
      <c r="N82" s="20">
        <f>IF(H82=0,0,L82/H82)</f>
        <v>-0.57106657444743647</v>
      </c>
      <c r="O82" s="26"/>
      <c r="P82" s="21">
        <f>+P29-P31+P80</f>
        <v>12116.840000000007</v>
      </c>
      <c r="Q82" s="13"/>
      <c r="R82" s="20">
        <f>IF(P$12=0,0,P82/P$12)</f>
        <v>0.28729699912104989</v>
      </c>
      <c r="S82" s="13"/>
      <c r="T82" s="21">
        <f>+T29-T31+T80</f>
        <v>20369.711949999997</v>
      </c>
      <c r="U82" s="13"/>
      <c r="V82" s="20">
        <f>IF(T$12=0,0,T82/T$12)</f>
        <v>0.15723800589747347</v>
      </c>
      <c r="W82" s="16"/>
      <c r="X82" s="21">
        <f>+P82-T82</f>
        <v>-8252.8719499999897</v>
      </c>
      <c r="Y82" s="16"/>
      <c r="Z82" s="20">
        <f>IF(T82=0,0,X82/T82)</f>
        <v>-0.40515408221076937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2"/>
      <c r="B84" s="10" t="s">
        <v>128</v>
      </c>
      <c r="C84" s="10"/>
      <c r="D84" s="4">
        <v>2752.46</v>
      </c>
      <c r="E84" s="4"/>
      <c r="F84" s="12">
        <f>IF(D$12=0,0,D84/D$12)</f>
        <v>0.10726334400721411</v>
      </c>
      <c r="G84" s="4"/>
      <c r="H84" s="4">
        <v>7981</v>
      </c>
      <c r="I84" s="4"/>
      <c r="J84" s="12">
        <f>IF(H$12=0,0,H84/H$12)</f>
        <v>0.10612326308091218</v>
      </c>
      <c r="K84" s="4"/>
      <c r="L84" s="4">
        <f>+D84-H84</f>
        <v>-5228.54</v>
      </c>
      <c r="M84" s="4"/>
      <c r="N84" s="12">
        <f>IF(H84=0,0,L84/H84)</f>
        <v>-0.65512341811803032</v>
      </c>
      <c r="O84" s="10"/>
      <c r="P84" s="4">
        <v>5220.28</v>
      </c>
      <c r="Q84" s="4"/>
      <c r="R84" s="12">
        <f>IF(P$12=0,0,P84/P$12)</f>
        <v>0.12377573513982468</v>
      </c>
      <c r="S84" s="4"/>
      <c r="T84" s="4">
        <v>14067</v>
      </c>
      <c r="U84" s="4"/>
      <c r="V84" s="12">
        <f>IF(T$12=0,0,T84/T$12)</f>
        <v>0.10858607300825183</v>
      </c>
      <c r="W84" s="4"/>
      <c r="X84" s="4">
        <f>+P84-T84</f>
        <v>-8846.7200000000012</v>
      </c>
      <c r="Y84" s="4"/>
      <c r="Z84" s="12">
        <f>IF(T84=0,0,X84/T84)</f>
        <v>-0.62889884125968587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5" t="s">
        <v>126</v>
      </c>
      <c r="C86" s="25"/>
      <c r="D86" s="33">
        <f>+D82-D84</f>
        <v>6788.9000000000042</v>
      </c>
      <c r="E86" s="13"/>
      <c r="F86" s="31">
        <f>IF(D$12=0,0,D86/D$12)</f>
        <v>0.26456337826183718</v>
      </c>
      <c r="G86" s="13"/>
      <c r="H86" s="33">
        <f>+H82-H84</f>
        <v>14263.384399999999</v>
      </c>
      <c r="I86" s="13"/>
      <c r="J86" s="31">
        <f>IF(H$12=0,0,H86/H$12)</f>
        <v>0.18966005451765175</v>
      </c>
      <c r="K86" s="16"/>
      <c r="L86" s="33">
        <f>D86-H86</f>
        <v>-7474.4843999999948</v>
      </c>
      <c r="M86" s="16"/>
      <c r="N86" s="31">
        <f>IF(H86=0,0,L86/H86)</f>
        <v>-0.5240330198210178</v>
      </c>
      <c r="O86" s="26"/>
      <c r="P86" s="33">
        <f>+P82-P84</f>
        <v>6896.5600000000077</v>
      </c>
      <c r="Q86" s="13"/>
      <c r="R86" s="31">
        <f>IF(P$12=0,0,P86/P$12)</f>
        <v>0.16352126398122518</v>
      </c>
      <c r="S86" s="13"/>
      <c r="T86" s="33">
        <f>+T82-T84</f>
        <v>6302.7119499999972</v>
      </c>
      <c r="U86" s="13"/>
      <c r="V86" s="31">
        <f>IF(T$12=0,0,T86/T$12)</f>
        <v>4.865193288922165E-2</v>
      </c>
      <c r="W86" s="16"/>
      <c r="X86" s="33">
        <f>P86-T86</f>
        <v>593.84805000001052</v>
      </c>
      <c r="Y86" s="16"/>
      <c r="Z86" s="31">
        <f>IF(T86=0,0,X86/T86)</f>
        <v>9.4221036073211431E-2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5" t="s">
        <v>294</v>
      </c>
      <c r="C89" s="25"/>
      <c r="D89" s="35">
        <f>SUM(D86:D88)</f>
        <v>6788.9000000000042</v>
      </c>
      <c r="E89" s="13"/>
      <c r="F89" s="34">
        <f>IF(D$12=0,0,D89/D$12)</f>
        <v>0.26456337826183718</v>
      </c>
      <c r="G89" s="13"/>
      <c r="H89" s="35">
        <f>SUM(H86:H88)</f>
        <v>14263.384399999999</v>
      </c>
      <c r="I89" s="13"/>
      <c r="J89" s="34">
        <f>IF(H$12=0,0,H89/H$12)</f>
        <v>0.18966005451765175</v>
      </c>
      <c r="K89" s="16"/>
      <c r="L89" s="35">
        <f>+D89-H89</f>
        <v>-7474.4843999999948</v>
      </c>
      <c r="M89" s="16"/>
      <c r="N89" s="34">
        <f>IF(H89=0,0,L89/H89)</f>
        <v>-0.5240330198210178</v>
      </c>
      <c r="O89" s="26"/>
      <c r="P89" s="35">
        <f>SUM(P86:P88)</f>
        <v>6896.5600000000077</v>
      </c>
      <c r="Q89" s="13"/>
      <c r="R89" s="34">
        <f>IF(P$12=0,0,P89/P$12)</f>
        <v>0.16352126398122518</v>
      </c>
      <c r="S89" s="13"/>
      <c r="T89" s="35">
        <f>SUM(T86:T88)</f>
        <v>6302.7119499999972</v>
      </c>
      <c r="U89" s="13"/>
      <c r="V89" s="34">
        <f>IF(T$12=0,0,T89/T$12)</f>
        <v>4.865193288922165E-2</v>
      </c>
      <c r="W89" s="16"/>
      <c r="X89" s="35">
        <f>+P89-T89</f>
        <v>593.84805000001052</v>
      </c>
      <c r="Y89" s="16"/>
      <c r="Z89" s="34">
        <f>IF(T89=0,0,X89/T89)</f>
        <v>9.4221036073211431E-2</v>
      </c>
    </row>
    <row r="90" spans="1:26" ht="15.75" thickTop="1" x14ac:dyDescent="0.25">
      <c r="A90" s="9"/>
      <c r="C90" s="9"/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61">
        <v>44481.978946643518</v>
      </c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56" t="s">
        <v>56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4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","307", " - ", "Art Store")</f>
        <v>Department 307 - Art Store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25660.770000000004</v>
      </c>
      <c r="E12" s="4"/>
      <c r="F12" s="12"/>
      <c r="G12" s="4"/>
      <c r="H12" s="4">
        <f>SUM(OSRRefH13x_0)</f>
        <v>75205</v>
      </c>
      <c r="I12" s="4"/>
      <c r="J12" s="12"/>
      <c r="K12" s="4"/>
      <c r="L12" s="4">
        <f t="shared" ref="L12:L15" si="0">+D12-H12</f>
        <v>-49544.229999999996</v>
      </c>
      <c r="M12" s="4"/>
      <c r="N12" s="12">
        <f t="shared" ref="N12:N15" si="1">IF(H12=0,0,L12/H12)</f>
        <v>-0.65878904328169663</v>
      </c>
      <c r="O12" s="10"/>
      <c r="P12" s="4">
        <f>SUM(OSRRefP13x_0)</f>
        <v>42175.310000000005</v>
      </c>
      <c r="Q12" s="4"/>
      <c r="R12" s="12"/>
      <c r="S12" s="4"/>
      <c r="T12" s="4">
        <f>SUM(OSRRefT13x_0)</f>
        <v>129547</v>
      </c>
      <c r="U12" s="4"/>
      <c r="V12" s="12"/>
      <c r="W12" s="4"/>
      <c r="X12" s="4">
        <f t="shared" ref="X12:X15" si="2">+P12-T12</f>
        <v>-87371.69</v>
      </c>
      <c r="Y12" s="4"/>
      <c r="Z12" s="12">
        <f t="shared" ref="Z12:Z15" si="3">IF(T12=0,0,X12/T12)</f>
        <v>-0.6744400873814137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--19683.79</f>
        <v>19683.79</v>
      </c>
      <c r="E13" s="2"/>
      <c r="F13" s="19"/>
      <c r="G13" s="2"/>
      <c r="H13" s="2">
        <v>50461</v>
      </c>
      <c r="I13" s="2"/>
      <c r="J13" s="19"/>
      <c r="K13" s="2"/>
      <c r="L13" s="2">
        <f t="shared" si="0"/>
        <v>-30777.21</v>
      </c>
      <c r="M13" s="2"/>
      <c r="N13" s="19">
        <f t="shared" si="1"/>
        <v>-0.60992073086145737</v>
      </c>
      <c r="O13" s="11"/>
      <c r="P13" s="2">
        <f>--34836.37</f>
        <v>34836.370000000003</v>
      </c>
      <c r="Q13" s="2"/>
      <c r="R13" s="19"/>
      <c r="S13" s="2"/>
      <c r="T13" s="2">
        <v>98434</v>
      </c>
      <c r="U13" s="2"/>
      <c r="V13" s="19"/>
      <c r="W13" s="2"/>
      <c r="X13" s="2">
        <f t="shared" si="2"/>
        <v>-63597.63</v>
      </c>
      <c r="Y13" s="2"/>
      <c r="Z13" s="19">
        <f t="shared" si="3"/>
        <v>-0.64609413414064243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--6374.4</f>
        <v>6374.4</v>
      </c>
      <c r="E14" s="2"/>
      <c r="F14" s="19"/>
      <c r="G14" s="2"/>
      <c r="H14" s="2">
        <v>24744</v>
      </c>
      <c r="I14" s="2"/>
      <c r="J14" s="19"/>
      <c r="K14" s="2"/>
      <c r="L14" s="2">
        <f t="shared" si="0"/>
        <v>-18369.599999999999</v>
      </c>
      <c r="M14" s="2"/>
      <c r="N14" s="19">
        <f t="shared" si="1"/>
        <v>-0.74238603297769146</v>
      </c>
      <c r="O14" s="11"/>
      <c r="P14" s="2">
        <f>--8002.93</f>
        <v>8002.93</v>
      </c>
      <c r="Q14" s="2"/>
      <c r="R14" s="19"/>
      <c r="S14" s="2"/>
      <c r="T14" s="2">
        <v>31113</v>
      </c>
      <c r="U14" s="2"/>
      <c r="V14" s="19"/>
      <c r="W14" s="2"/>
      <c r="X14" s="2">
        <f t="shared" si="2"/>
        <v>-23110.07</v>
      </c>
      <c r="Y14" s="2"/>
      <c r="Z14" s="19">
        <f t="shared" si="3"/>
        <v>-0.74277858130042107</v>
      </c>
    </row>
    <row r="15" spans="1:26" s="24" customFormat="1" hidden="1" outlineLevel="1" x14ac:dyDescent="0.25">
      <c r="A15" s="44"/>
      <c r="B15" s="11" t="str">
        <f>CONCATENATE("          ", "4200", " - ", "TAXABLE RETURNS")</f>
        <v xml:space="preserve">          4200 - TAXABLE RETURNS</v>
      </c>
      <c r="C15" s="11"/>
      <c r="D15" s="2">
        <f>-397.42</f>
        <v>-397.42</v>
      </c>
      <c r="E15" s="2"/>
      <c r="F15" s="19"/>
      <c r="G15" s="2"/>
      <c r="H15" s="2"/>
      <c r="I15" s="2"/>
      <c r="J15" s="19"/>
      <c r="K15" s="2"/>
      <c r="L15" s="2">
        <f t="shared" si="0"/>
        <v>-397.42</v>
      </c>
      <c r="M15" s="2"/>
      <c r="N15" s="19">
        <f t="shared" si="1"/>
        <v>0</v>
      </c>
      <c r="O15" s="11"/>
      <c r="P15" s="2">
        <f>-663.99</f>
        <v>-663.99</v>
      </c>
      <c r="Q15" s="2"/>
      <c r="R15" s="19"/>
      <c r="S15" s="2"/>
      <c r="T15" s="2"/>
      <c r="U15" s="2"/>
      <c r="V15" s="19"/>
      <c r="W15" s="2"/>
      <c r="X15" s="2">
        <f t="shared" si="2"/>
        <v>-663.99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257</v>
      </c>
      <c r="C17" s="10"/>
      <c r="D17" s="4">
        <f>SUM(OSRRefD16x_0)</f>
        <v>14774.61</v>
      </c>
      <c r="E17" s="4"/>
      <c r="F17" s="12">
        <f t="shared" ref="F17:F27" si="4">IF(D$12=0,0,D17/D$12)</f>
        <v>0.57576643257392501</v>
      </c>
      <c r="G17" s="4"/>
      <c r="H17" s="4">
        <f>SUM(OSRRefH16x_0)</f>
        <v>42088</v>
      </c>
      <c r="I17" s="4"/>
      <c r="J17" s="12">
        <f t="shared" ref="J17:J27" si="5">IF(H$12=0,0,H17/H$12)</f>
        <v>0.55964364071537798</v>
      </c>
      <c r="K17" s="4"/>
      <c r="L17" s="4">
        <f t="shared" ref="L17:L27" si="6">+D17-H17</f>
        <v>-27313.39</v>
      </c>
      <c r="M17" s="4"/>
      <c r="N17" s="12">
        <f t="shared" ref="N17:N27" si="7">IF(H17=0,0,L17/H17)</f>
        <v>-0.64895908572514727</v>
      </c>
      <c r="O17" s="10"/>
      <c r="P17" s="4">
        <f>SUM(OSRRefP16x_0)</f>
        <v>24460.17</v>
      </c>
      <c r="Q17" s="4"/>
      <c r="R17" s="12">
        <f t="shared" ref="R17:R27" si="8">IF(P$12=0,0,P17/P$12)</f>
        <v>0.57996420180432573</v>
      </c>
      <c r="S17" s="4"/>
      <c r="T17" s="4">
        <f>SUM(OSRRefT16x_0)</f>
        <v>75072</v>
      </c>
      <c r="U17" s="4"/>
      <c r="V17" s="12">
        <f t="shared" ref="V17:V27" si="9">IF(T$12=0,0,T17/T$12)</f>
        <v>0.57949624460620475</v>
      </c>
      <c r="W17" s="4"/>
      <c r="X17" s="4">
        <f t="shared" ref="X17:X27" si="10">+P17-T17</f>
        <v>-50611.83</v>
      </c>
      <c r="Y17" s="4"/>
      <c r="Z17" s="12">
        <f t="shared" ref="Z17:Z27" si="11">IF(T17=0,0,X17/T17)</f>
        <v>-0.67417718989769826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>
        <v>11537.82</v>
      </c>
      <c r="E18" s="2"/>
      <c r="F18" s="19">
        <f t="shared" si="4"/>
        <v>0.44962875237181105</v>
      </c>
      <c r="G18" s="2"/>
      <c r="H18" s="2">
        <v>42088</v>
      </c>
      <c r="I18" s="2"/>
      <c r="J18" s="19">
        <f t="shared" si="5"/>
        <v>0.55964364071537798</v>
      </c>
      <c r="K18" s="2"/>
      <c r="L18" s="2">
        <f t="shared" si="6"/>
        <v>-30550.18</v>
      </c>
      <c r="M18" s="2"/>
      <c r="N18" s="19">
        <f t="shared" si="7"/>
        <v>-0.72586437939555215</v>
      </c>
      <c r="O18" s="11"/>
      <c r="P18" s="2">
        <v>25233.11</v>
      </c>
      <c r="Q18" s="2"/>
      <c r="R18" s="19">
        <f t="shared" si="8"/>
        <v>0.59829103805046124</v>
      </c>
      <c r="S18" s="2"/>
      <c r="T18" s="2">
        <v>75072</v>
      </c>
      <c r="U18" s="2"/>
      <c r="V18" s="19">
        <f t="shared" si="9"/>
        <v>0.57949624460620475</v>
      </c>
      <c r="W18" s="2"/>
      <c r="X18" s="2">
        <f t="shared" si="10"/>
        <v>-49838.89</v>
      </c>
      <c r="Y18" s="2"/>
      <c r="Z18" s="19">
        <f t="shared" si="11"/>
        <v>-0.66388120737425405</v>
      </c>
    </row>
    <row r="19" spans="1:26" s="24" customFormat="1" hidden="1" outlineLevel="1" x14ac:dyDescent="0.25">
      <c r="A19" s="44"/>
      <c r="B19" s="11" t="str">
        <f>CONCATENATE("          ", "5026", " - ", "PURCHASES @ COST-WRITING INSTR")</f>
        <v xml:space="preserve">          5026 - PURCHASES @ COST-WRITING INSTR</v>
      </c>
      <c r="C19" s="11"/>
      <c r="D19" s="2"/>
      <c r="E19" s="2"/>
      <c r="F19" s="19">
        <f t="shared" si="4"/>
        <v>0</v>
      </c>
      <c r="G19" s="2"/>
      <c r="H19" s="2"/>
      <c r="I19" s="2"/>
      <c r="J19" s="19">
        <f t="shared" si="5"/>
        <v>0</v>
      </c>
      <c r="K19" s="2"/>
      <c r="L19" s="2">
        <f t="shared" si="6"/>
        <v>0</v>
      </c>
      <c r="M19" s="2"/>
      <c r="N19" s="19">
        <f t="shared" si="7"/>
        <v>0</v>
      </c>
      <c r="O19" s="11"/>
      <c r="P19" s="2">
        <v>0</v>
      </c>
      <c r="Q19" s="2"/>
      <c r="R19" s="19">
        <f t="shared" si="8"/>
        <v>0</v>
      </c>
      <c r="S19" s="2"/>
      <c r="T19" s="2"/>
      <c r="U19" s="2"/>
      <c r="V19" s="19">
        <f t="shared" si="9"/>
        <v>0</v>
      </c>
      <c r="W19" s="2"/>
      <c r="X19" s="2">
        <f t="shared" si="10"/>
        <v>0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"5027", " - ", "PURCHASES @ COST-SCHOOL SUPPLI")</f>
        <v xml:space="preserve">          5027 - PURCHASES @ COST-SCHOOL SUPPLI</v>
      </c>
      <c r="C20" s="11"/>
      <c r="D20" s="2"/>
      <c r="E20" s="2"/>
      <c r="F20" s="19">
        <f t="shared" si="4"/>
        <v>0</v>
      </c>
      <c r="G20" s="2"/>
      <c r="H20" s="2"/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>
        <v>0</v>
      </c>
      <c r="Q20" s="2"/>
      <c r="R20" s="19">
        <f t="shared" si="8"/>
        <v>0</v>
      </c>
      <c r="S20" s="2"/>
      <c r="T20" s="2"/>
      <c r="U20" s="2"/>
      <c r="V20" s="19">
        <f t="shared" si="9"/>
        <v>0</v>
      </c>
      <c r="W20" s="2"/>
      <c r="X20" s="2">
        <f t="shared" si="10"/>
        <v>0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"5028", " - ", "PURCHASES @ COST-ART/TECH")</f>
        <v xml:space="preserve">          5028 - PURCHASES @ COST-ART/TECH</v>
      </c>
      <c r="C21" s="11"/>
      <c r="D21" s="2">
        <v>0</v>
      </c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25">
      <c r="A22" s="44"/>
      <c r="B22" s="11" t="str">
        <f>CONCATENATE("          ", "5031", " - ", "PURCHASES @ COST-FOOD")</f>
        <v xml:space="preserve">          5031 - PURCHASES @ COST-FOOD</v>
      </c>
      <c r="C22" s="11"/>
      <c r="D22" s="2">
        <v>0</v>
      </c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"5042", " - ", "PURCHASES @ COST-EVERYDAY GIFT")</f>
        <v xml:space="preserve">          5042 - PURCHASES @ COST-EVERYDAY GIFT</v>
      </c>
      <c r="C23" s="11"/>
      <c r="D23" s="2"/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25">
      <c r="A24" s="44"/>
      <c r="B24" s="11" t="str">
        <f>CONCATENATE("          ", "5200", " - ", "PURCHASES OFFSET")</f>
        <v xml:space="preserve">          5200 - PURCHASES OFFSET</v>
      </c>
      <c r="C24" s="11"/>
      <c r="D24" s="2">
        <v>-11589.14</v>
      </c>
      <c r="E24" s="2"/>
      <c r="F24" s="19">
        <f t="shared" si="4"/>
        <v>-0.45162869235802344</v>
      </c>
      <c r="G24" s="2"/>
      <c r="H24" s="2"/>
      <c r="I24" s="2"/>
      <c r="J24" s="19">
        <f t="shared" si="5"/>
        <v>0</v>
      </c>
      <c r="K24" s="2"/>
      <c r="L24" s="2">
        <f t="shared" si="6"/>
        <v>-11589.14</v>
      </c>
      <c r="M24" s="2"/>
      <c r="N24" s="19">
        <f t="shared" si="7"/>
        <v>0</v>
      </c>
      <c r="O24" s="11"/>
      <c r="P24" s="2">
        <v>-25426.880000000001</v>
      </c>
      <c r="Q24" s="2"/>
      <c r="R24" s="19">
        <f t="shared" si="8"/>
        <v>-0.60288543225882629</v>
      </c>
      <c r="S24" s="2"/>
      <c r="T24" s="2"/>
      <c r="U24" s="2"/>
      <c r="V24" s="19">
        <f t="shared" si="9"/>
        <v>0</v>
      </c>
      <c r="W24" s="2"/>
      <c r="X24" s="2">
        <f t="shared" si="10"/>
        <v>-25426.880000000001</v>
      </c>
      <c r="Y24" s="2"/>
      <c r="Z24" s="19">
        <f t="shared" si="11"/>
        <v>0</v>
      </c>
    </row>
    <row r="25" spans="1:26" s="24" customFormat="1" hidden="1" outlineLevel="1" x14ac:dyDescent="0.25">
      <c r="A25" s="44"/>
      <c r="B25" s="11" t="str">
        <f>CONCATENATE("          ", "5300", " - ", "COG$ OFFSET")</f>
        <v xml:space="preserve">          5300 - COG$ OFFSET</v>
      </c>
      <c r="C25" s="11"/>
      <c r="D25" s="2">
        <v>14774.61</v>
      </c>
      <c r="E25" s="2"/>
      <c r="F25" s="19">
        <f t="shared" si="4"/>
        <v>0.57576643257392501</v>
      </c>
      <c r="G25" s="2"/>
      <c r="H25" s="2"/>
      <c r="I25" s="2"/>
      <c r="J25" s="19">
        <f t="shared" si="5"/>
        <v>0</v>
      </c>
      <c r="K25" s="2"/>
      <c r="L25" s="2">
        <f t="shared" si="6"/>
        <v>14774.61</v>
      </c>
      <c r="M25" s="2"/>
      <c r="N25" s="19">
        <f t="shared" si="7"/>
        <v>0</v>
      </c>
      <c r="O25" s="11"/>
      <c r="P25" s="2">
        <v>24460.17</v>
      </c>
      <c r="Q25" s="2"/>
      <c r="R25" s="19">
        <f t="shared" si="8"/>
        <v>0.57996420180432573</v>
      </c>
      <c r="S25" s="2"/>
      <c r="T25" s="2"/>
      <c r="U25" s="2"/>
      <c r="V25" s="19">
        <f t="shared" si="9"/>
        <v>0</v>
      </c>
      <c r="W25" s="2"/>
      <c r="X25" s="2">
        <f t="shared" si="10"/>
        <v>24460.17</v>
      </c>
      <c r="Y25" s="2"/>
      <c r="Z25" s="19">
        <f t="shared" si="11"/>
        <v>0</v>
      </c>
    </row>
    <row r="26" spans="1:26" s="24" customFormat="1" hidden="1" outlineLevel="1" x14ac:dyDescent="0.25">
      <c r="A26" s="44"/>
      <c r="B26" s="11" t="str">
        <f>CONCATENATE("          ", "5500", " - ", "FREIGHT-IN")</f>
        <v xml:space="preserve">          5500 - FREIGHT-IN</v>
      </c>
      <c r="C26" s="11"/>
      <c r="D26" s="2">
        <v>51.32</v>
      </c>
      <c r="E26" s="2"/>
      <c r="F26" s="19">
        <f t="shared" si="4"/>
        <v>1.9999399862124165E-3</v>
      </c>
      <c r="G26" s="2"/>
      <c r="H26" s="2"/>
      <c r="I26" s="2"/>
      <c r="J26" s="19">
        <f t="shared" si="5"/>
        <v>0</v>
      </c>
      <c r="K26" s="2"/>
      <c r="L26" s="2">
        <f t="shared" si="6"/>
        <v>51.32</v>
      </c>
      <c r="M26" s="2"/>
      <c r="N26" s="19">
        <f t="shared" si="7"/>
        <v>0</v>
      </c>
      <c r="O26" s="11"/>
      <c r="P26" s="2">
        <v>193.77</v>
      </c>
      <c r="Q26" s="2"/>
      <c r="R26" s="19">
        <f t="shared" si="8"/>
        <v>4.5943942083650361E-3</v>
      </c>
      <c r="S26" s="2"/>
      <c r="T26" s="2"/>
      <c r="U26" s="2"/>
      <c r="V26" s="19">
        <f t="shared" si="9"/>
        <v>0</v>
      </c>
      <c r="W26" s="2"/>
      <c r="X26" s="2">
        <f t="shared" si="10"/>
        <v>193.77</v>
      </c>
      <c r="Y26" s="2"/>
      <c r="Z26" s="19">
        <f t="shared" si="11"/>
        <v>0</v>
      </c>
    </row>
    <row r="27" spans="1:26" s="24" customFormat="1" hidden="1" outlineLevel="1" x14ac:dyDescent="0.25">
      <c r="A27" s="44"/>
      <c r="B27" s="11" t="str">
        <f>CONCATENATE("          ", "5528", " - ", "FREIGHT-IN-ART/TECH")</f>
        <v xml:space="preserve">          5528 - FREIGHT-IN-ART/TECH</v>
      </c>
      <c r="C27" s="11"/>
      <c r="D27" s="2">
        <v>0</v>
      </c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5" t="s">
        <v>108</v>
      </c>
      <c r="C29" s="25"/>
      <c r="D29" s="21">
        <f>D12-D17</f>
        <v>10886.160000000003</v>
      </c>
      <c r="E29" s="13"/>
      <c r="F29" s="20">
        <f>IF(D$12=0,0,D29/D$12)</f>
        <v>0.42423356742607499</v>
      </c>
      <c r="G29" s="13"/>
      <c r="H29" s="21">
        <f>H12-H17</f>
        <v>33117</v>
      </c>
      <c r="I29" s="13"/>
      <c r="J29" s="20">
        <f>IF(H$12=0,0,H29/H$12)</f>
        <v>0.44035635928462202</v>
      </c>
      <c r="K29" s="16"/>
      <c r="L29" s="21">
        <f>+D29-H29</f>
        <v>-22230.839999999997</v>
      </c>
      <c r="M29" s="16"/>
      <c r="N29" s="20">
        <f>IF(H29=0,0,L29/H29)</f>
        <v>-0.67128181900534456</v>
      </c>
      <c r="O29" s="26"/>
      <c r="P29" s="21">
        <f>P12-P17</f>
        <v>17715.140000000007</v>
      </c>
      <c r="Q29" s="13"/>
      <c r="R29" s="20">
        <f>IF(P$12=0,0,P29/P$12)</f>
        <v>0.42003579819567433</v>
      </c>
      <c r="S29" s="13"/>
      <c r="T29" s="21">
        <f>T12-T17</f>
        <v>54475</v>
      </c>
      <c r="U29" s="13"/>
      <c r="V29" s="20">
        <f>IF(T$12=0,0,T29/T$12)</f>
        <v>0.42050375539379531</v>
      </c>
      <c r="W29" s="16"/>
      <c r="X29" s="21">
        <f>+P29-T29</f>
        <v>-36759.859999999993</v>
      </c>
      <c r="Y29" s="16"/>
      <c r="Z29" s="20">
        <f>IF(T29=0,0,X29/T29)</f>
        <v>-0.67480238641578694</v>
      </c>
    </row>
    <row r="30" spans="1:26" x14ac:dyDescent="0.25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6" t="s">
        <v>295</v>
      </c>
      <c r="C31" s="10"/>
      <c r="D31" s="22">
        <f>SUM(OSRRefD22x_0)</f>
        <v>1344.8000000000002</v>
      </c>
      <c r="E31" s="22"/>
      <c r="F31" s="32">
        <f t="shared" ref="F31:F40" si="12">IF(D$12=0,0,D31/D$12)</f>
        <v>5.2406845157023735E-2</v>
      </c>
      <c r="G31" s="22"/>
      <c r="H31" s="22">
        <f>SUM(OSRRefH22x_0)</f>
        <v>10872.615600000001</v>
      </c>
      <c r="I31" s="22"/>
      <c r="J31" s="32">
        <f t="shared" ref="J31:J40" si="13">IF(H$12=0,0,H31/H$12)</f>
        <v>0.14457304168605811</v>
      </c>
      <c r="K31" s="4"/>
      <c r="L31" s="22">
        <f t="shared" ref="L31:L40" si="14">+D31-H31</f>
        <v>-9527.8156000000017</v>
      </c>
      <c r="M31" s="4"/>
      <c r="N31" s="32">
        <f t="shared" ref="N31:N40" si="15">IF(H31=0,0,L31/H31)</f>
        <v>-0.87631311089486152</v>
      </c>
      <c r="O31" s="10"/>
      <c r="P31" s="22">
        <f>SUM(OSRRefP22x_0)</f>
        <v>5598.3</v>
      </c>
      <c r="Q31" s="22"/>
      <c r="R31" s="32">
        <f t="shared" ref="R31:R40" si="16">IF(P$12=0,0,P31/P$12)</f>
        <v>0.13273879907462446</v>
      </c>
      <c r="S31" s="22"/>
      <c r="T31" s="22">
        <f>SUM(OSRRefT22x_0)</f>
        <v>34105.288050000003</v>
      </c>
      <c r="U31" s="22"/>
      <c r="V31" s="32">
        <f t="shared" ref="V31:V40" si="17">IF(T$12=0,0,T31/T$12)</f>
        <v>0.26326574949632181</v>
      </c>
      <c r="W31" s="4"/>
      <c r="X31" s="22">
        <f t="shared" ref="X31:X40" si="18">+P31-T31</f>
        <v>-28506.988050000004</v>
      </c>
      <c r="Y31" s="4"/>
      <c r="Z31" s="32">
        <f t="shared" ref="Z31:Z40" si="19">IF(T31=0,0,X31/T31)</f>
        <v>-0.83585243461973935</v>
      </c>
    </row>
    <row r="32" spans="1:26" s="28" customFormat="1" outlineLevel="1" collapsed="1" x14ac:dyDescent="0.25">
      <c r="A32" s="27"/>
      <c r="B32" s="14" t="str">
        <f>CONCATENATE("     ","*Benefits                                         ")</f>
        <v xml:space="preserve">     *Benefits                                         </v>
      </c>
      <c r="C32" s="14"/>
      <c r="D32" s="1">
        <f>SUM(OSRRefD22_0x_0)</f>
        <v>0</v>
      </c>
      <c r="E32" s="1"/>
      <c r="F32" s="5">
        <f t="shared" si="12"/>
        <v>0</v>
      </c>
      <c r="G32" s="1"/>
      <c r="H32" s="1">
        <f>SUM(OSRRefH22_0x_0)</f>
        <v>573.61560000000009</v>
      </c>
      <c r="I32" s="1"/>
      <c r="J32" s="5">
        <f t="shared" si="13"/>
        <v>7.6273598829865044E-3</v>
      </c>
      <c r="K32" s="1"/>
      <c r="L32" s="1">
        <f t="shared" si="14"/>
        <v>-573.61560000000009</v>
      </c>
      <c r="M32" s="1"/>
      <c r="N32" s="5">
        <f t="shared" si="15"/>
        <v>-1</v>
      </c>
      <c r="O32" s="14"/>
      <c r="P32" s="1">
        <f>SUM(OSRRefP22_0x_0)</f>
        <v>0</v>
      </c>
      <c r="Q32" s="1"/>
      <c r="R32" s="5">
        <f t="shared" si="16"/>
        <v>0</v>
      </c>
      <c r="S32" s="1"/>
      <c r="T32" s="1">
        <f>SUM(OSRRefT22_0x_0)</f>
        <v>2935.2880500000001</v>
      </c>
      <c r="U32" s="1"/>
      <c r="V32" s="5">
        <f t="shared" si="17"/>
        <v>2.2658093587655446E-2</v>
      </c>
      <c r="W32" s="1"/>
      <c r="X32" s="1">
        <f t="shared" si="18"/>
        <v>-2935.2880500000001</v>
      </c>
      <c r="Y32" s="1"/>
      <c r="Z32" s="5">
        <f t="shared" si="19"/>
        <v>-1</v>
      </c>
    </row>
    <row r="33" spans="1:26" s="24" customFormat="1" hidden="1" outlineLevel="2" x14ac:dyDescent="0.25">
      <c r="A33" s="29"/>
      <c r="B33" s="11" t="str">
        <f>CONCATENATE("          ", "6111", " - ", "F.I.C.A.")</f>
        <v xml:space="preserve">          6111 - F.I.C.A.</v>
      </c>
      <c r="C33" s="11"/>
      <c r="D33" s="7"/>
      <c r="E33" s="2"/>
      <c r="F33" s="6">
        <f t="shared" si="12"/>
        <v>0</v>
      </c>
      <c r="G33" s="2"/>
      <c r="H33" s="7">
        <v>146.9376</v>
      </c>
      <c r="I33" s="2"/>
      <c r="J33" s="6">
        <f t="shared" si="13"/>
        <v>1.9538275380626287E-3</v>
      </c>
      <c r="K33" s="2"/>
      <c r="L33" s="7">
        <f t="shared" si="14"/>
        <v>-146.9376</v>
      </c>
      <c r="M33" s="2"/>
      <c r="N33" s="6">
        <f t="shared" si="15"/>
        <v>-1</v>
      </c>
      <c r="O33" s="11"/>
      <c r="P33" s="7"/>
      <c r="Q33" s="2"/>
      <c r="R33" s="6">
        <f t="shared" si="16"/>
        <v>0</v>
      </c>
      <c r="S33" s="2"/>
      <c r="T33" s="7">
        <v>1548.58455</v>
      </c>
      <c r="U33" s="2"/>
      <c r="V33" s="6">
        <f t="shared" si="17"/>
        <v>1.1953843392745491E-2</v>
      </c>
      <c r="W33" s="2"/>
      <c r="X33" s="7">
        <f t="shared" si="18"/>
        <v>-1548.58455</v>
      </c>
      <c r="Y33" s="2"/>
      <c r="Z33" s="6">
        <f t="shared" si="19"/>
        <v>-1</v>
      </c>
    </row>
    <row r="34" spans="1:26" s="24" customFormat="1" hidden="1" outlineLevel="2" x14ac:dyDescent="0.25">
      <c r="A34" s="29"/>
      <c r="B34" s="11" t="str">
        <f>CONCATENATE("          ", "6112", " - ", "COMPENSATION INSURANCE")</f>
        <v xml:space="preserve">          6112 - COMPENSATION INSURANCE</v>
      </c>
      <c r="C34" s="11"/>
      <c r="D34" s="7"/>
      <c r="E34" s="2"/>
      <c r="F34" s="6">
        <f t="shared" si="12"/>
        <v>0</v>
      </c>
      <c r="G34" s="2"/>
      <c r="H34" s="7">
        <v>126.98399999999999</v>
      </c>
      <c r="I34" s="2"/>
      <c r="J34" s="6">
        <f t="shared" si="13"/>
        <v>1.688504753673293E-3</v>
      </c>
      <c r="K34" s="2"/>
      <c r="L34" s="7">
        <f t="shared" si="14"/>
        <v>-126.98399999999999</v>
      </c>
      <c r="M34" s="2"/>
      <c r="N34" s="6">
        <f t="shared" si="15"/>
        <v>-1</v>
      </c>
      <c r="O34" s="11"/>
      <c r="P34" s="7"/>
      <c r="Q34" s="2"/>
      <c r="R34" s="6">
        <f t="shared" si="16"/>
        <v>0</v>
      </c>
      <c r="S34" s="2"/>
      <c r="T34" s="7">
        <v>412.69799999999998</v>
      </c>
      <c r="U34" s="2"/>
      <c r="V34" s="6">
        <f t="shared" si="17"/>
        <v>3.1857009425150717E-3</v>
      </c>
      <c r="W34" s="2"/>
      <c r="X34" s="7">
        <f t="shared" si="18"/>
        <v>-412.69799999999998</v>
      </c>
      <c r="Y34" s="2"/>
      <c r="Z34" s="6">
        <f t="shared" si="19"/>
        <v>-1</v>
      </c>
    </row>
    <row r="35" spans="1:26" s="24" customFormat="1" hidden="1" outlineLevel="2" x14ac:dyDescent="0.25">
      <c r="A35" s="29"/>
      <c r="B35" s="11" t="str">
        <f>CONCATENATE("          ", "6113", " - ", "GROUP INSURANCE")</f>
        <v xml:space="preserve">          6113 - GROUP INSURANCE</v>
      </c>
      <c r="C35" s="11"/>
      <c r="D35" s="7"/>
      <c r="E35" s="2"/>
      <c r="F35" s="6">
        <f t="shared" si="12"/>
        <v>0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/>
      <c r="Q35" s="2"/>
      <c r="R35" s="6">
        <f t="shared" si="16"/>
        <v>0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0</v>
      </c>
      <c r="Y35" s="2"/>
      <c r="Z35" s="6">
        <f t="shared" si="19"/>
        <v>0</v>
      </c>
    </row>
    <row r="36" spans="1:26" s="24" customFormat="1" hidden="1" outlineLevel="2" x14ac:dyDescent="0.25">
      <c r="A36" s="29"/>
      <c r="B36" s="11" t="str">
        <f>CONCATENATE("          ", "6114", " - ", "STATE UNEMPLOYMENT INSURANCE")</f>
        <v xml:space="preserve">          6114 - STATE UNEMPLOYMENT INSURANCE</v>
      </c>
      <c r="C36" s="11"/>
      <c r="D36" s="7"/>
      <c r="E36" s="2"/>
      <c r="F36" s="6">
        <f t="shared" si="12"/>
        <v>0</v>
      </c>
      <c r="G36" s="2"/>
      <c r="H36" s="7">
        <v>17.094000000000001</v>
      </c>
      <c r="I36" s="2"/>
      <c r="J36" s="6">
        <f t="shared" si="13"/>
        <v>2.2729871684063562E-4</v>
      </c>
      <c r="K36" s="2"/>
      <c r="L36" s="7">
        <f t="shared" si="14"/>
        <v>-17.094000000000001</v>
      </c>
      <c r="M36" s="2"/>
      <c r="N36" s="6">
        <f t="shared" si="15"/>
        <v>-1</v>
      </c>
      <c r="O36" s="11"/>
      <c r="P36" s="7"/>
      <c r="Q36" s="2"/>
      <c r="R36" s="6">
        <f t="shared" si="16"/>
        <v>0</v>
      </c>
      <c r="S36" s="2"/>
      <c r="T36" s="7">
        <v>55.555500000000002</v>
      </c>
      <c r="U36" s="2"/>
      <c r="V36" s="6">
        <f t="shared" si="17"/>
        <v>4.2884435764625967E-4</v>
      </c>
      <c r="W36" s="2"/>
      <c r="X36" s="7">
        <f t="shared" si="18"/>
        <v>-55.555500000000002</v>
      </c>
      <c r="Y36" s="2"/>
      <c r="Z36" s="6">
        <f t="shared" si="19"/>
        <v>-1</v>
      </c>
    </row>
    <row r="37" spans="1:26" s="24" customFormat="1" hidden="1" outlineLevel="2" x14ac:dyDescent="0.25">
      <c r="A37" s="29"/>
      <c r="B37" s="11" t="str">
        <f>CONCATENATE("          ", "6115", " - ", "P.E.R.S.")</f>
        <v xml:space="preserve">          6115 - P.E.R.S.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/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0</v>
      </c>
      <c r="Y37" s="2"/>
      <c r="Z37" s="6">
        <f t="shared" si="19"/>
        <v>0</v>
      </c>
    </row>
    <row r="38" spans="1:26" s="24" customFormat="1" hidden="1" outlineLevel="2" x14ac:dyDescent="0.25">
      <c r="A38" s="29"/>
      <c r="B38" s="11" t="str">
        <f>CONCATENATE("          ", "6116", " - ", "EDUCATIONAL BENEFITS")</f>
        <v xml:space="preserve">          6116 - EDUCATIONAL BENEFITS</v>
      </c>
      <c r="C38" s="11"/>
      <c r="D38" s="7"/>
      <c r="E38" s="2"/>
      <c r="F38" s="6">
        <f t="shared" si="12"/>
        <v>0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0</v>
      </c>
      <c r="M38" s="2"/>
      <c r="N38" s="6">
        <f t="shared" si="15"/>
        <v>0</v>
      </c>
      <c r="O38" s="11"/>
      <c r="P38" s="7"/>
      <c r="Q38" s="2"/>
      <c r="R38" s="6">
        <f t="shared" si="16"/>
        <v>0</v>
      </c>
      <c r="S38" s="2"/>
      <c r="T38" s="7">
        <v>0</v>
      </c>
      <c r="U38" s="2"/>
      <c r="V38" s="6">
        <f t="shared" si="17"/>
        <v>0</v>
      </c>
      <c r="W38" s="2"/>
      <c r="X38" s="7">
        <f t="shared" si="18"/>
        <v>0</v>
      </c>
      <c r="Y38" s="2"/>
      <c r="Z38" s="6">
        <f t="shared" si="19"/>
        <v>0</v>
      </c>
    </row>
    <row r="39" spans="1:26" s="24" customFormat="1" hidden="1" outlineLevel="2" x14ac:dyDescent="0.25">
      <c r="A39" s="29"/>
      <c r="B39" s="11" t="str">
        <f>CONCATENATE("          ", "6118", " - ", "VACATION")</f>
        <v xml:space="preserve">          6118 - VACATION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9"/>
      <c r="B40" s="11" t="str">
        <f>CONCATENATE("          ", "6119", " - ", "SICK LEAVE")</f>
        <v xml:space="preserve">          6119 - SICK LEAVE</v>
      </c>
      <c r="C40" s="11"/>
      <c r="D40" s="7"/>
      <c r="E40" s="2"/>
      <c r="F40" s="6">
        <f t="shared" si="12"/>
        <v>0</v>
      </c>
      <c r="G40" s="2"/>
      <c r="H40" s="7">
        <v>282.60000000000002</v>
      </c>
      <c r="I40" s="2"/>
      <c r="J40" s="6">
        <f t="shared" si="13"/>
        <v>3.7577288744099465E-3</v>
      </c>
      <c r="K40" s="2"/>
      <c r="L40" s="7">
        <f t="shared" si="14"/>
        <v>-282.60000000000002</v>
      </c>
      <c r="M40" s="2"/>
      <c r="N40" s="6">
        <f t="shared" si="15"/>
        <v>-1</v>
      </c>
      <c r="O40" s="11"/>
      <c r="P40" s="7"/>
      <c r="Q40" s="2"/>
      <c r="R40" s="6">
        <f t="shared" si="16"/>
        <v>0</v>
      </c>
      <c r="S40" s="2"/>
      <c r="T40" s="7">
        <v>918.45</v>
      </c>
      <c r="U40" s="2"/>
      <c r="V40" s="6">
        <f t="shared" si="17"/>
        <v>7.0897048947486246E-3</v>
      </c>
      <c r="W40" s="2"/>
      <c r="X40" s="7">
        <f t="shared" si="18"/>
        <v>-918.45</v>
      </c>
      <c r="Y40" s="2"/>
      <c r="Z40" s="6">
        <f t="shared" si="19"/>
        <v>-1</v>
      </c>
    </row>
    <row r="41" spans="1:26" s="28" customFormat="1" outlineLevel="1" collapsed="1" x14ac:dyDescent="0.25">
      <c r="A41" s="27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0</v>
      </c>
      <c r="E41" s="1"/>
      <c r="F41" s="5">
        <f t="shared" ref="F41:F51" si="20">IF(D$12=0,0,D41/D$12)</f>
        <v>0</v>
      </c>
      <c r="G41" s="1"/>
      <c r="H41" s="1">
        <f>SUM(OSRRefH22_1x_0)</f>
        <v>8044</v>
      </c>
      <c r="I41" s="1"/>
      <c r="J41" s="5">
        <f t="shared" ref="J41:J51" si="21">IF(H$12=0,0,H41/H$12)</f>
        <v>0.10696097333953859</v>
      </c>
      <c r="K41" s="1"/>
      <c r="L41" s="1">
        <f t="shared" ref="L41:L51" si="22">+D41-H41</f>
        <v>-8044</v>
      </c>
      <c r="M41" s="1"/>
      <c r="N41" s="5">
        <f t="shared" ref="N41:N51" si="23">IF(H41=0,0,L41/H41)</f>
        <v>-1</v>
      </c>
      <c r="O41" s="14"/>
      <c r="P41" s="1">
        <f>SUM(OSRRefP22_1x_0)</f>
        <v>0</v>
      </c>
      <c r="Q41" s="1"/>
      <c r="R41" s="5">
        <f t="shared" ref="R41:R51" si="24">IF(P$12=0,0,P41/P$12)</f>
        <v>0</v>
      </c>
      <c r="S41" s="1"/>
      <c r="T41" s="1">
        <f>SUM(OSRRefT22_1x_0)</f>
        <v>26143</v>
      </c>
      <c r="U41" s="1"/>
      <c r="V41" s="5">
        <f t="shared" ref="V41:V51" si="25">IF(T$12=0,0,T41/T$12)</f>
        <v>0.20180320655823755</v>
      </c>
      <c r="W41" s="1"/>
      <c r="X41" s="1">
        <f t="shared" ref="X41:X51" si="26">+P41-T41</f>
        <v>-26143</v>
      </c>
      <c r="Y41" s="1"/>
      <c r="Z41" s="5">
        <f t="shared" ref="Z41:Z51" si="27">IF(T41=0,0,X41/T41)</f>
        <v>-1</v>
      </c>
    </row>
    <row r="42" spans="1:26" s="24" customFormat="1" hidden="1" outlineLevel="2" x14ac:dyDescent="0.25">
      <c r="A42" s="29"/>
      <c r="B42" s="11" t="str">
        <f>CONCATENATE("          ", "6001", " - ", "ADMINISTRATIVE SALARIES")</f>
        <v xml:space="preserve">          6001 - ADMINISTRATIVE SALARIES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9"/>
      <c r="B43" s="11" t="str">
        <f>CONCATENATE("          ", "6002", " - ", "STAFF SALARIES")</f>
        <v xml:space="preserve">          6002 - STAFF SALARIES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9"/>
      <c r="B44" s="11" t="str">
        <f>CONCATENATE("          ", "6003", " - ", "STAFF HOURLY-9 MONTH")</f>
        <v xml:space="preserve">          6003 - STAFF HOURLY-9 MONTH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9"/>
      <c r="B45" s="11" t="str">
        <f>CONCATENATE("          ", "6004", " - ", "STAFF HOURLY")</f>
        <v xml:space="preserve">          6004 - STAFF HOURLY</v>
      </c>
      <c r="C45" s="11"/>
      <c r="D45" s="7"/>
      <c r="E45" s="2"/>
      <c r="F45" s="6">
        <f t="shared" si="20"/>
        <v>0</v>
      </c>
      <c r="G45" s="2"/>
      <c r="H45" s="7">
        <v>1824</v>
      </c>
      <c r="I45" s="2"/>
      <c r="J45" s="6">
        <f t="shared" si="21"/>
        <v>2.4253706535469717E-2</v>
      </c>
      <c r="K45" s="2"/>
      <c r="L45" s="7">
        <f t="shared" si="22"/>
        <v>-1824</v>
      </c>
      <c r="M45" s="2"/>
      <c r="N45" s="6">
        <f t="shared" si="23"/>
        <v>-1</v>
      </c>
      <c r="O45" s="11"/>
      <c r="P45" s="7"/>
      <c r="Q45" s="2"/>
      <c r="R45" s="6">
        <f t="shared" si="24"/>
        <v>0</v>
      </c>
      <c r="S45" s="2"/>
      <c r="T45" s="7">
        <v>5928</v>
      </c>
      <c r="U45" s="2"/>
      <c r="V45" s="6">
        <f t="shared" si="25"/>
        <v>4.5759454097740591E-2</v>
      </c>
      <c r="W45" s="2"/>
      <c r="X45" s="7">
        <f t="shared" si="26"/>
        <v>-5928</v>
      </c>
      <c r="Y45" s="2"/>
      <c r="Z45" s="6">
        <f t="shared" si="27"/>
        <v>-1</v>
      </c>
    </row>
    <row r="46" spans="1:26" s="24" customFormat="1" hidden="1" outlineLevel="2" x14ac:dyDescent="0.25">
      <c r="A46" s="29"/>
      <c r="B46" s="11" t="str">
        <f>CONCATENATE("          ", "6005", " - ", "TEMPORARY WAGES-HOURLY")</f>
        <v xml:space="preserve">          6005 - TEMPORARY WAGES-HOURLY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9"/>
      <c r="B47" s="11" t="str">
        <f>CONCATENATE("          ", "6006", " - ", "TEMPORARY PART TIME")</f>
        <v xml:space="preserve">          6006 - TEMPORARY PART TIME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4" customFormat="1" hidden="1" outlineLevel="2" x14ac:dyDescent="0.25">
      <c r="A48" s="29"/>
      <c r="B48" s="11" t="str">
        <f>CONCATENATE("          ", "6007", " - ", "STUDENT HOURLY")</f>
        <v xml:space="preserve">          6007 - STUDENT HOURLY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13995</v>
      </c>
      <c r="U48" s="2"/>
      <c r="V48" s="6">
        <f t="shared" si="25"/>
        <v>0.10803029016495944</v>
      </c>
      <c r="W48" s="2"/>
      <c r="X48" s="7">
        <f t="shared" si="26"/>
        <v>-13995</v>
      </c>
      <c r="Y48" s="2"/>
      <c r="Z48" s="6">
        <f t="shared" si="27"/>
        <v>-1</v>
      </c>
    </row>
    <row r="49" spans="1:26" s="24" customFormat="1" hidden="1" outlineLevel="2" x14ac:dyDescent="0.25">
      <c r="A49" s="29"/>
      <c r="B49" s="11" t="str">
        <f>CONCATENATE("          ", "6008", " - ", "STUDENT HOURLY-FICA EXEMPT")</f>
        <v xml:space="preserve">          6008 - STUDENT HOURLY-FICA EXEMPT</v>
      </c>
      <c r="C49" s="11"/>
      <c r="D49" s="7"/>
      <c r="E49" s="2"/>
      <c r="F49" s="6">
        <f t="shared" si="20"/>
        <v>0</v>
      </c>
      <c r="G49" s="2"/>
      <c r="H49" s="7">
        <v>6220</v>
      </c>
      <c r="I49" s="2"/>
      <c r="J49" s="6">
        <f t="shared" si="21"/>
        <v>8.2707266804068882E-2</v>
      </c>
      <c r="K49" s="2"/>
      <c r="L49" s="7">
        <f t="shared" si="22"/>
        <v>-6220</v>
      </c>
      <c r="M49" s="2"/>
      <c r="N49" s="6">
        <f t="shared" si="23"/>
        <v>-1</v>
      </c>
      <c r="O49" s="11"/>
      <c r="P49" s="7"/>
      <c r="Q49" s="2"/>
      <c r="R49" s="6">
        <f t="shared" si="24"/>
        <v>0</v>
      </c>
      <c r="S49" s="2"/>
      <c r="T49" s="7">
        <v>6220</v>
      </c>
      <c r="U49" s="2"/>
      <c r="V49" s="6">
        <f t="shared" si="25"/>
        <v>4.8013462295537525E-2</v>
      </c>
      <c r="W49" s="2"/>
      <c r="X49" s="7">
        <f t="shared" si="26"/>
        <v>-6220</v>
      </c>
      <c r="Y49" s="2"/>
      <c r="Z49" s="6">
        <f t="shared" si="27"/>
        <v>-1</v>
      </c>
    </row>
    <row r="50" spans="1:26" s="24" customFormat="1" hidden="1" outlineLevel="2" x14ac:dyDescent="0.25">
      <c r="A50" s="29"/>
      <c r="B50" s="11" t="str">
        <f>CONCATENATE("          ", "6009", " - ", "TEMPORARY-SEASONAL")</f>
        <v xml:space="preserve">          6009 - TEMPORARY-SEASONAL</v>
      </c>
      <c r="C50" s="11"/>
      <c r="D50" s="7"/>
      <c r="E50" s="2"/>
      <c r="F50" s="6">
        <f t="shared" si="20"/>
        <v>0</v>
      </c>
      <c r="G50" s="2"/>
      <c r="H50" s="7">
        <v>0</v>
      </c>
      <c r="I50" s="2"/>
      <c r="J50" s="6">
        <f t="shared" si="21"/>
        <v>0</v>
      </c>
      <c r="K50" s="2"/>
      <c r="L50" s="7">
        <f t="shared" si="22"/>
        <v>0</v>
      </c>
      <c r="M50" s="2"/>
      <c r="N50" s="6">
        <f t="shared" si="23"/>
        <v>0</v>
      </c>
      <c r="O50" s="11"/>
      <c r="P50" s="7"/>
      <c r="Q50" s="2"/>
      <c r="R50" s="6">
        <f t="shared" si="24"/>
        <v>0</v>
      </c>
      <c r="S50" s="2"/>
      <c r="T50" s="7">
        <v>0</v>
      </c>
      <c r="U50" s="2"/>
      <c r="V50" s="6">
        <f t="shared" si="25"/>
        <v>0</v>
      </c>
      <c r="W50" s="2"/>
      <c r="X50" s="7">
        <f t="shared" si="26"/>
        <v>0</v>
      </c>
      <c r="Y50" s="2"/>
      <c r="Z50" s="6">
        <f t="shared" si="27"/>
        <v>0</v>
      </c>
    </row>
    <row r="51" spans="1:26" s="24" customFormat="1" hidden="1" outlineLevel="2" x14ac:dyDescent="0.25">
      <c r="A51" s="29"/>
      <c r="B51" s="11" t="str">
        <f>CONCATENATE("          ", "6010", " - ", "GRATUITY")</f>
        <v xml:space="preserve">          6010 - GRATUITY</v>
      </c>
      <c r="C51" s="11"/>
      <c r="D51" s="7"/>
      <c r="E51" s="2"/>
      <c r="F51" s="6">
        <f t="shared" si="20"/>
        <v>0</v>
      </c>
      <c r="G51" s="2"/>
      <c r="H51" s="7">
        <v>0</v>
      </c>
      <c r="I51" s="2"/>
      <c r="J51" s="6">
        <f t="shared" si="21"/>
        <v>0</v>
      </c>
      <c r="K51" s="2"/>
      <c r="L51" s="7">
        <f t="shared" si="22"/>
        <v>0</v>
      </c>
      <c r="M51" s="2"/>
      <c r="N51" s="6">
        <f t="shared" si="23"/>
        <v>0</v>
      </c>
      <c r="O51" s="11"/>
      <c r="P51" s="7"/>
      <c r="Q51" s="2"/>
      <c r="R51" s="6">
        <f t="shared" si="24"/>
        <v>0</v>
      </c>
      <c r="S51" s="2"/>
      <c r="T51" s="7">
        <v>0</v>
      </c>
      <c r="U51" s="2"/>
      <c r="V51" s="6">
        <f t="shared" si="25"/>
        <v>0</v>
      </c>
      <c r="W51" s="2"/>
      <c r="X51" s="7">
        <f t="shared" si="26"/>
        <v>0</v>
      </c>
      <c r="Y51" s="2"/>
      <c r="Z51" s="6">
        <f t="shared" si="27"/>
        <v>0</v>
      </c>
    </row>
    <row r="52" spans="1:26" s="28" customFormat="1" outlineLevel="1" collapsed="1" x14ac:dyDescent="0.25">
      <c r="A52" s="27"/>
      <c r="B52" s="14" t="str">
        <f>CONCATENATE("     ","Advertising/Promo                                 ")</f>
        <v xml:space="preserve">     Advertising/Promo                                 </v>
      </c>
      <c r="C52" s="14"/>
      <c r="D52" s="1">
        <f>SUM(OSRRefD22_2x_0)</f>
        <v>17.64</v>
      </c>
      <c r="E52" s="1"/>
      <c r="F52" s="5">
        <f t="shared" ref="F52:F60" si="28">IF(D$12=0,0,D52/D$12)</f>
        <v>6.8743065777059683E-4</v>
      </c>
      <c r="G52" s="1"/>
      <c r="H52" s="1">
        <f>SUM(OSRRefH22_2x_0)</f>
        <v>50</v>
      </c>
      <c r="I52" s="1"/>
      <c r="J52" s="5">
        <f t="shared" ref="J52:J60" si="29">IF(H$12=0,0,H52/H$12)</f>
        <v>6.6484941160827071E-4</v>
      </c>
      <c r="K52" s="1"/>
      <c r="L52" s="1">
        <f t="shared" ref="L52:L60" si="30">+D52-H52</f>
        <v>-32.36</v>
      </c>
      <c r="M52" s="1"/>
      <c r="N52" s="5">
        <f t="shared" ref="N52:N60" si="31">IF(H52=0,0,L52/H52)</f>
        <v>-0.6472</v>
      </c>
      <c r="O52" s="14"/>
      <c r="P52" s="1">
        <f>SUM(OSRRefP22_2x_0)</f>
        <v>152.91999999999999</v>
      </c>
      <c r="Q52" s="1"/>
      <c r="R52" s="5">
        <f t="shared" ref="R52:R60" si="32">IF(P$12=0,0,P52/P$12)</f>
        <v>3.6258180437796421E-3</v>
      </c>
      <c r="S52" s="1"/>
      <c r="T52" s="1">
        <f>SUM(OSRRefT22_2x_0)</f>
        <v>150</v>
      </c>
      <c r="U52" s="1"/>
      <c r="V52" s="5">
        <f t="shared" ref="V52:V60" si="33">IF(T$12=0,0,T52/T$12)</f>
        <v>1.1578809235258246E-3</v>
      </c>
      <c r="W52" s="1"/>
      <c r="X52" s="1">
        <f t="shared" ref="X52:X60" si="34">+P52-T52</f>
        <v>2.9199999999999875</v>
      </c>
      <c r="Y52" s="1"/>
      <c r="Z52" s="5">
        <f t="shared" ref="Z52:Z60" si="35">IF(T52=0,0,X52/T52)</f>
        <v>1.9466666666666584E-2</v>
      </c>
    </row>
    <row r="53" spans="1:26" s="24" customFormat="1" hidden="1" outlineLevel="2" x14ac:dyDescent="0.25">
      <c r="A53" s="29"/>
      <c r="B53" s="11" t="str">
        <f>CONCATENATE("          ", "6362", " - ", "ADVERTISING EXPENSE")</f>
        <v xml:space="preserve">          6362 - ADVERTISING EXPENSE</v>
      </c>
      <c r="C53" s="11"/>
      <c r="D53" s="7">
        <v>17.64</v>
      </c>
      <c r="E53" s="2"/>
      <c r="F53" s="6">
        <f t="shared" si="28"/>
        <v>6.8743065777059683E-4</v>
      </c>
      <c r="G53" s="2"/>
      <c r="H53" s="7">
        <v>50</v>
      </c>
      <c r="I53" s="2"/>
      <c r="J53" s="6">
        <f t="shared" si="29"/>
        <v>6.6484941160827071E-4</v>
      </c>
      <c r="K53" s="2"/>
      <c r="L53" s="7">
        <f t="shared" si="30"/>
        <v>-32.36</v>
      </c>
      <c r="M53" s="2"/>
      <c r="N53" s="6">
        <f t="shared" si="31"/>
        <v>-0.6472</v>
      </c>
      <c r="O53" s="11"/>
      <c r="P53" s="7">
        <v>152.91999999999999</v>
      </c>
      <c r="Q53" s="2"/>
      <c r="R53" s="6">
        <f t="shared" si="32"/>
        <v>3.6258180437796421E-3</v>
      </c>
      <c r="S53" s="2"/>
      <c r="T53" s="7">
        <v>150</v>
      </c>
      <c r="U53" s="2"/>
      <c r="V53" s="6">
        <f t="shared" si="33"/>
        <v>1.1578809235258246E-3</v>
      </c>
      <c r="W53" s="2"/>
      <c r="X53" s="7">
        <f t="shared" si="34"/>
        <v>2.9199999999999875</v>
      </c>
      <c r="Y53" s="2"/>
      <c r="Z53" s="6">
        <f t="shared" si="35"/>
        <v>1.9466666666666584E-2</v>
      </c>
    </row>
    <row r="54" spans="1:26" s="28" customFormat="1" outlineLevel="1" collapsed="1" x14ac:dyDescent="0.25">
      <c r="A54" s="27"/>
      <c r="B54" s="14" t="str">
        <f>CONCATENATE("     ","Bad Debts/Over/Short                              ")</f>
        <v xml:space="preserve">     Bad Debts/Over/Short                              </v>
      </c>
      <c r="C54" s="14"/>
      <c r="D54" s="1">
        <f>SUM(OSRRefD22_3x_0)</f>
        <v>-1.67</v>
      </c>
      <c r="E54" s="1"/>
      <c r="F54" s="5">
        <f t="shared" si="28"/>
        <v>-6.5079886534971469E-5</v>
      </c>
      <c r="G54" s="1"/>
      <c r="H54" s="1">
        <f>SUM(OSRRefH22_3x_0)</f>
        <v>25</v>
      </c>
      <c r="I54" s="1"/>
      <c r="J54" s="5">
        <f t="shared" si="29"/>
        <v>3.3242470580413535E-4</v>
      </c>
      <c r="K54" s="1"/>
      <c r="L54" s="1">
        <f t="shared" si="30"/>
        <v>-26.67</v>
      </c>
      <c r="M54" s="1"/>
      <c r="N54" s="5">
        <f t="shared" si="31"/>
        <v>-1.0668</v>
      </c>
      <c r="O54" s="14"/>
      <c r="P54" s="1">
        <f>SUM(OSRRefP22_3x_0)</f>
        <v>-3.33</v>
      </c>
      <c r="Q54" s="1"/>
      <c r="R54" s="5">
        <f t="shared" si="32"/>
        <v>-7.8956147565957427E-5</v>
      </c>
      <c r="S54" s="1"/>
      <c r="T54" s="1">
        <f>SUM(OSRRefT22_3x_0)</f>
        <v>75</v>
      </c>
      <c r="U54" s="1"/>
      <c r="V54" s="5">
        <f t="shared" si="33"/>
        <v>5.7894046176291231E-4</v>
      </c>
      <c r="W54" s="1"/>
      <c r="X54" s="1">
        <f t="shared" si="34"/>
        <v>-78.33</v>
      </c>
      <c r="Y54" s="1"/>
      <c r="Z54" s="5">
        <f t="shared" si="35"/>
        <v>-1.0444</v>
      </c>
    </row>
    <row r="55" spans="1:26" s="24" customFormat="1" hidden="1" outlineLevel="2" x14ac:dyDescent="0.25">
      <c r="A55" s="29"/>
      <c r="B55" s="11" t="str">
        <f>CONCATENATE("          ", "6272", " - ", "CASH (OVER/SHORT)")</f>
        <v xml:space="preserve">          6272 - CASH (OVER/SHORT)</v>
      </c>
      <c r="C55" s="11"/>
      <c r="D55" s="7">
        <v>-1.67</v>
      </c>
      <c r="E55" s="2"/>
      <c r="F55" s="6">
        <f t="shared" si="28"/>
        <v>-6.5079886534971469E-5</v>
      </c>
      <c r="G55" s="2"/>
      <c r="H55" s="7">
        <v>25</v>
      </c>
      <c r="I55" s="2"/>
      <c r="J55" s="6">
        <f t="shared" si="29"/>
        <v>3.3242470580413535E-4</v>
      </c>
      <c r="K55" s="2"/>
      <c r="L55" s="7">
        <f t="shared" si="30"/>
        <v>-26.67</v>
      </c>
      <c r="M55" s="2"/>
      <c r="N55" s="6">
        <f t="shared" si="31"/>
        <v>-1.0668</v>
      </c>
      <c r="O55" s="11"/>
      <c r="P55" s="7">
        <v>-3.33</v>
      </c>
      <c r="Q55" s="2"/>
      <c r="R55" s="6">
        <f t="shared" si="32"/>
        <v>-7.8956147565957427E-5</v>
      </c>
      <c r="S55" s="2"/>
      <c r="T55" s="7">
        <v>75</v>
      </c>
      <c r="U55" s="2"/>
      <c r="V55" s="6">
        <f t="shared" si="33"/>
        <v>5.7894046176291231E-4</v>
      </c>
      <c r="W55" s="2"/>
      <c r="X55" s="7">
        <f t="shared" si="34"/>
        <v>-78.33</v>
      </c>
      <c r="Y55" s="2"/>
      <c r="Z55" s="6">
        <f t="shared" si="35"/>
        <v>-1.0444</v>
      </c>
    </row>
    <row r="56" spans="1:26" s="28" customFormat="1" outlineLevel="1" collapsed="1" x14ac:dyDescent="0.25">
      <c r="A56" s="27"/>
      <c r="B56" s="14" t="str">
        <f>CONCATENATE("     ","Bank/card Fees                                    ")</f>
        <v xml:space="preserve">     Bank/card Fees                                    </v>
      </c>
      <c r="C56" s="14"/>
      <c r="D56" s="1">
        <f>SUM(OSRRefD22_4x_0)</f>
        <v>0</v>
      </c>
      <c r="E56" s="1"/>
      <c r="F56" s="5">
        <f t="shared" si="28"/>
        <v>0</v>
      </c>
      <c r="G56" s="1"/>
      <c r="H56" s="1">
        <f>SUM(OSRRefH22_4x_0)</f>
        <v>1395</v>
      </c>
      <c r="I56" s="1"/>
      <c r="J56" s="5">
        <f t="shared" si="29"/>
        <v>1.8549298583870753E-2</v>
      </c>
      <c r="K56" s="1"/>
      <c r="L56" s="1">
        <f t="shared" si="30"/>
        <v>-1395</v>
      </c>
      <c r="M56" s="1"/>
      <c r="N56" s="5">
        <f t="shared" si="31"/>
        <v>-1</v>
      </c>
      <c r="O56" s="14"/>
      <c r="P56" s="1">
        <f>SUM(OSRRefP22_4x_0)</f>
        <v>0</v>
      </c>
      <c r="Q56" s="1"/>
      <c r="R56" s="5">
        <f t="shared" si="32"/>
        <v>0</v>
      </c>
      <c r="S56" s="1"/>
      <c r="T56" s="1">
        <f>SUM(OSRRefT22_4x_0)</f>
        <v>2447</v>
      </c>
      <c r="U56" s="1"/>
      <c r="V56" s="5">
        <f t="shared" si="33"/>
        <v>1.8888897465784617E-2</v>
      </c>
      <c r="W56" s="1"/>
      <c r="X56" s="1">
        <f t="shared" si="34"/>
        <v>-2447</v>
      </c>
      <c r="Y56" s="1"/>
      <c r="Z56" s="5">
        <f t="shared" si="35"/>
        <v>-1</v>
      </c>
    </row>
    <row r="57" spans="1:26" s="24" customFormat="1" hidden="1" outlineLevel="2" x14ac:dyDescent="0.25">
      <c r="A57" s="29"/>
      <c r="B57" s="11" t="str">
        <f>CONCATENATE("          ", "6381", " - ", "BANK/CREDIT CARD FEES")</f>
        <v xml:space="preserve">          6381 - BANK/CREDIT CARD FEES</v>
      </c>
      <c r="C57" s="11"/>
      <c r="D57" s="7"/>
      <c r="E57" s="2"/>
      <c r="F57" s="6">
        <f t="shared" si="28"/>
        <v>0</v>
      </c>
      <c r="G57" s="2"/>
      <c r="H57" s="7">
        <v>1395</v>
      </c>
      <c r="I57" s="2"/>
      <c r="J57" s="6">
        <f t="shared" si="29"/>
        <v>1.8549298583870753E-2</v>
      </c>
      <c r="K57" s="2"/>
      <c r="L57" s="7">
        <f t="shared" si="30"/>
        <v>-1395</v>
      </c>
      <c r="M57" s="2"/>
      <c r="N57" s="6">
        <f t="shared" si="31"/>
        <v>-1</v>
      </c>
      <c r="O57" s="11"/>
      <c r="P57" s="7"/>
      <c r="Q57" s="2"/>
      <c r="R57" s="6">
        <f t="shared" si="32"/>
        <v>0</v>
      </c>
      <c r="S57" s="2"/>
      <c r="T57" s="7">
        <v>2447</v>
      </c>
      <c r="U57" s="2"/>
      <c r="V57" s="6">
        <f t="shared" si="33"/>
        <v>1.8888897465784617E-2</v>
      </c>
      <c r="W57" s="2"/>
      <c r="X57" s="7">
        <f t="shared" si="34"/>
        <v>-2447</v>
      </c>
      <c r="Y57" s="2"/>
      <c r="Z57" s="6">
        <f t="shared" si="35"/>
        <v>-1</v>
      </c>
    </row>
    <row r="58" spans="1:26" s="28" customFormat="1" outlineLevel="1" collapsed="1" x14ac:dyDescent="0.25">
      <c r="A58" s="27"/>
      <c r="B58" s="14" t="str">
        <f>CONCATENATE("     ","Discounts and Markdowns                           ")</f>
        <v xml:space="preserve">     Discounts and Markdowns                           </v>
      </c>
      <c r="C58" s="14"/>
      <c r="D58" s="1">
        <f>SUM(OSRRefD22_5x_0)</f>
        <v>69.38</v>
      </c>
      <c r="E58" s="1"/>
      <c r="F58" s="5">
        <f t="shared" si="28"/>
        <v>2.7037380405965988E-3</v>
      </c>
      <c r="G58" s="1"/>
      <c r="H58" s="1">
        <f>SUM(OSRRefH22_5x_0)</f>
        <v>0</v>
      </c>
      <c r="I58" s="1"/>
      <c r="J58" s="5">
        <f t="shared" si="29"/>
        <v>0</v>
      </c>
      <c r="K58" s="1"/>
      <c r="L58" s="1">
        <f t="shared" si="30"/>
        <v>69.38</v>
      </c>
      <c r="M58" s="1"/>
      <c r="N58" s="5">
        <f t="shared" si="31"/>
        <v>0</v>
      </c>
      <c r="O58" s="14"/>
      <c r="P58" s="1">
        <f>SUM(OSRRefP22_5x_0)</f>
        <v>0</v>
      </c>
      <c r="Q58" s="1"/>
      <c r="R58" s="5">
        <f t="shared" si="32"/>
        <v>0</v>
      </c>
      <c r="S58" s="1"/>
      <c r="T58" s="1">
        <f>SUM(OSRRefT22_5x_0)</f>
        <v>0</v>
      </c>
      <c r="U58" s="1"/>
      <c r="V58" s="5">
        <f t="shared" si="33"/>
        <v>0</v>
      </c>
      <c r="W58" s="1"/>
      <c r="X58" s="1">
        <f t="shared" si="34"/>
        <v>0</v>
      </c>
      <c r="Y58" s="1"/>
      <c r="Z58" s="5">
        <f t="shared" si="35"/>
        <v>0</v>
      </c>
    </row>
    <row r="59" spans="1:26" s="24" customFormat="1" hidden="1" outlineLevel="2" x14ac:dyDescent="0.25">
      <c r="A59" s="29"/>
      <c r="B59" s="11" t="str">
        <f>CONCATENATE("          ", "6382", " - ", "DISCOUNTS/MARK DOWNS")</f>
        <v xml:space="preserve">          6382 - DISCOUNTS/MARK DOWNS</v>
      </c>
      <c r="C59" s="11"/>
      <c r="D59" s="7"/>
      <c r="E59" s="2"/>
      <c r="F59" s="6">
        <f t="shared" si="28"/>
        <v>0</v>
      </c>
      <c r="G59" s="2"/>
      <c r="H59" s="7"/>
      <c r="I59" s="2"/>
      <c r="J59" s="6">
        <f t="shared" si="29"/>
        <v>0</v>
      </c>
      <c r="K59" s="2"/>
      <c r="L59" s="7">
        <f t="shared" si="30"/>
        <v>0</v>
      </c>
      <c r="M59" s="2"/>
      <c r="N59" s="6">
        <f t="shared" si="31"/>
        <v>0</v>
      </c>
      <c r="O59" s="11"/>
      <c r="P59" s="7"/>
      <c r="Q59" s="2"/>
      <c r="R59" s="6">
        <f t="shared" si="32"/>
        <v>0</v>
      </c>
      <c r="S59" s="2"/>
      <c r="T59" s="7">
        <v>0</v>
      </c>
      <c r="U59" s="2"/>
      <c r="V59" s="6">
        <f t="shared" si="33"/>
        <v>0</v>
      </c>
      <c r="W59" s="2"/>
      <c r="X59" s="7">
        <f t="shared" si="34"/>
        <v>0</v>
      </c>
      <c r="Y59" s="2"/>
      <c r="Z59" s="6">
        <f t="shared" si="35"/>
        <v>0</v>
      </c>
    </row>
    <row r="60" spans="1:26" s="24" customFormat="1" hidden="1" outlineLevel="2" x14ac:dyDescent="0.25">
      <c r="A60" s="29"/>
      <c r="B60" s="11" t="str">
        <f>CONCATENATE("          ", "9175", " - ", "EARNED DISCOUNTS")</f>
        <v xml:space="preserve">          9175 - EARNED DISCOUNTS</v>
      </c>
      <c r="C60" s="11"/>
      <c r="D60" s="7">
        <v>69.38</v>
      </c>
      <c r="E60" s="2"/>
      <c r="F60" s="6">
        <f t="shared" si="28"/>
        <v>2.7037380405965988E-3</v>
      </c>
      <c r="G60" s="2"/>
      <c r="H60" s="7"/>
      <c r="I60" s="2"/>
      <c r="J60" s="6">
        <f t="shared" si="29"/>
        <v>0</v>
      </c>
      <c r="K60" s="2"/>
      <c r="L60" s="7">
        <f t="shared" si="30"/>
        <v>69.38</v>
      </c>
      <c r="M60" s="2"/>
      <c r="N60" s="6">
        <f t="shared" si="31"/>
        <v>0</v>
      </c>
      <c r="O60" s="11"/>
      <c r="P60" s="7">
        <v>0</v>
      </c>
      <c r="Q60" s="2"/>
      <c r="R60" s="6">
        <f t="shared" si="32"/>
        <v>0</v>
      </c>
      <c r="S60" s="2"/>
      <c r="T60" s="7"/>
      <c r="U60" s="2"/>
      <c r="V60" s="6">
        <f t="shared" si="33"/>
        <v>0</v>
      </c>
      <c r="W60" s="2"/>
      <c r="X60" s="7">
        <f t="shared" si="34"/>
        <v>0</v>
      </c>
      <c r="Y60" s="2"/>
      <c r="Z60" s="6">
        <f t="shared" si="35"/>
        <v>0</v>
      </c>
    </row>
    <row r="61" spans="1:26" s="28" customFormat="1" outlineLevel="1" collapsed="1" x14ac:dyDescent="0.25">
      <c r="A61" s="27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SUM(OSRRefD22_6x_0)</f>
        <v>34.5</v>
      </c>
      <c r="E61" s="1"/>
      <c r="F61" s="5">
        <f t="shared" ref="F61:F69" si="36">IF(D$12=0,0,D61/D$12)</f>
        <v>1.3444647218302489E-3</v>
      </c>
      <c r="G61" s="1"/>
      <c r="H61" s="1">
        <f>SUM(OSRRefH22_6x_0)</f>
        <v>0</v>
      </c>
      <c r="I61" s="1"/>
      <c r="J61" s="5">
        <f t="shared" ref="J61:J69" si="37">IF(H$12=0,0,H61/H$12)</f>
        <v>0</v>
      </c>
      <c r="K61" s="1"/>
      <c r="L61" s="1">
        <f t="shared" ref="L61:L69" si="38">+D61-H61</f>
        <v>34.5</v>
      </c>
      <c r="M61" s="1"/>
      <c r="N61" s="5">
        <f t="shared" ref="N61:N69" si="39">IF(H61=0,0,L61/H61)</f>
        <v>0</v>
      </c>
      <c r="O61" s="14"/>
      <c r="P61" s="1">
        <f>SUM(OSRRefP22_6x_0)</f>
        <v>54.5</v>
      </c>
      <c r="Q61" s="1"/>
      <c r="R61" s="5">
        <f t="shared" ref="R61:R69" si="40">IF(P$12=0,0,P61/P$12)</f>
        <v>1.2922252379413452E-3</v>
      </c>
      <c r="S61" s="1"/>
      <c r="T61" s="1">
        <f>SUM(OSRRefT22_6x_0)</f>
        <v>0</v>
      </c>
      <c r="U61" s="1"/>
      <c r="V61" s="5">
        <f t="shared" ref="V61:V69" si="41">IF(T$12=0,0,T61/T$12)</f>
        <v>0</v>
      </c>
      <c r="W61" s="1"/>
      <c r="X61" s="1">
        <f t="shared" ref="X61:X69" si="42">+P61-T61</f>
        <v>54.5</v>
      </c>
      <c r="Y61" s="1"/>
      <c r="Z61" s="5">
        <f t="shared" ref="Z61:Z69" si="43">IF(T61=0,0,X61/T61)</f>
        <v>0</v>
      </c>
    </row>
    <row r="62" spans="1:26" s="24" customFormat="1" hidden="1" outlineLevel="2" x14ac:dyDescent="0.25">
      <c r="A62" s="29"/>
      <c r="B62" s="11" t="str">
        <f>CONCATENATE("          ", "6307", " - ", "POSTAGE")</f>
        <v xml:space="preserve">          6307 - POSTAGE</v>
      </c>
      <c r="C62" s="11"/>
      <c r="D62" s="7">
        <v>34.5</v>
      </c>
      <c r="E62" s="2"/>
      <c r="F62" s="6">
        <f t="shared" si="36"/>
        <v>1.3444647218302489E-3</v>
      </c>
      <c r="G62" s="2"/>
      <c r="H62" s="7"/>
      <c r="I62" s="2"/>
      <c r="J62" s="6">
        <f t="shared" si="37"/>
        <v>0</v>
      </c>
      <c r="K62" s="2"/>
      <c r="L62" s="7">
        <f t="shared" si="38"/>
        <v>34.5</v>
      </c>
      <c r="M62" s="2"/>
      <c r="N62" s="6">
        <f t="shared" si="39"/>
        <v>0</v>
      </c>
      <c r="O62" s="11"/>
      <c r="P62" s="7">
        <v>54.5</v>
      </c>
      <c r="Q62" s="2"/>
      <c r="R62" s="6">
        <f t="shared" si="40"/>
        <v>1.2922252379413452E-3</v>
      </c>
      <c r="S62" s="2"/>
      <c r="T62" s="7"/>
      <c r="U62" s="2"/>
      <c r="V62" s="6">
        <f t="shared" si="41"/>
        <v>0</v>
      </c>
      <c r="W62" s="2"/>
      <c r="X62" s="7">
        <f t="shared" si="42"/>
        <v>54.5</v>
      </c>
      <c r="Y62" s="2"/>
      <c r="Z62" s="6">
        <f t="shared" si="43"/>
        <v>0</v>
      </c>
    </row>
    <row r="63" spans="1:26" s="28" customFormat="1" outlineLevel="1" collapsed="1" x14ac:dyDescent="0.25">
      <c r="A63" s="27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SUM(OSRRefD22_7x_0)</f>
        <v>0</v>
      </c>
      <c r="E63" s="1"/>
      <c r="F63" s="5">
        <f t="shared" si="36"/>
        <v>0</v>
      </c>
      <c r="G63" s="1"/>
      <c r="H63" s="1">
        <f>SUM(OSRRefH22_7x_0)</f>
        <v>0</v>
      </c>
      <c r="I63" s="1"/>
      <c r="J63" s="5">
        <f t="shared" si="37"/>
        <v>0</v>
      </c>
      <c r="K63" s="1"/>
      <c r="L63" s="1">
        <f t="shared" si="38"/>
        <v>0</v>
      </c>
      <c r="M63" s="1"/>
      <c r="N63" s="5">
        <f t="shared" si="39"/>
        <v>0</v>
      </c>
      <c r="O63" s="14"/>
      <c r="P63" s="1">
        <f>SUM(OSRRefP22_7x_0)</f>
        <v>228.04</v>
      </c>
      <c r="Q63" s="1"/>
      <c r="R63" s="5">
        <f t="shared" si="40"/>
        <v>5.4069549222044832E-3</v>
      </c>
      <c r="S63" s="1"/>
      <c r="T63" s="1">
        <f>SUM(OSRRefT22_7x_0)</f>
        <v>0</v>
      </c>
      <c r="U63" s="1"/>
      <c r="V63" s="5">
        <f t="shared" si="41"/>
        <v>0</v>
      </c>
      <c r="W63" s="1"/>
      <c r="X63" s="1">
        <f t="shared" si="42"/>
        <v>228.04</v>
      </c>
      <c r="Y63" s="1"/>
      <c r="Z63" s="5">
        <f t="shared" si="43"/>
        <v>0</v>
      </c>
    </row>
    <row r="64" spans="1:26" s="24" customFormat="1" hidden="1" outlineLevel="2" x14ac:dyDescent="0.25">
      <c r="A64" s="29"/>
      <c r="B64" s="11" t="str">
        <f>CONCATENATE("          ", "6279", " - ", "GENERAL EXPENSE")</f>
        <v xml:space="preserve">          6279 - GENERAL EXPENSE</v>
      </c>
      <c r="C64" s="11"/>
      <c r="D64" s="7"/>
      <c r="E64" s="2"/>
      <c r="F64" s="6">
        <f t="shared" si="36"/>
        <v>0</v>
      </c>
      <c r="G64" s="2"/>
      <c r="H64" s="7">
        <v>0</v>
      </c>
      <c r="I64" s="2"/>
      <c r="J64" s="6">
        <f t="shared" si="37"/>
        <v>0</v>
      </c>
      <c r="K64" s="2"/>
      <c r="L64" s="7">
        <f t="shared" si="38"/>
        <v>0</v>
      </c>
      <c r="M64" s="2"/>
      <c r="N64" s="6">
        <f t="shared" si="39"/>
        <v>0</v>
      </c>
      <c r="O64" s="11"/>
      <c r="P64" s="7">
        <v>228.04</v>
      </c>
      <c r="Q64" s="2"/>
      <c r="R64" s="6">
        <f t="shared" si="40"/>
        <v>5.4069549222044832E-3</v>
      </c>
      <c r="S64" s="2"/>
      <c r="T64" s="7">
        <v>0</v>
      </c>
      <c r="U64" s="2"/>
      <c r="V64" s="6">
        <f t="shared" si="41"/>
        <v>0</v>
      </c>
      <c r="W64" s="2"/>
      <c r="X64" s="7">
        <f t="shared" si="42"/>
        <v>228.04</v>
      </c>
      <c r="Y64" s="2"/>
      <c r="Z64" s="6">
        <f t="shared" si="43"/>
        <v>0</v>
      </c>
    </row>
    <row r="65" spans="1:26" s="28" customFormat="1" outlineLevel="1" collapsed="1" x14ac:dyDescent="0.25">
      <c r="A65" s="27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SUM(OSRRefD22_8x_0)</f>
        <v>650</v>
      </c>
      <c r="E65" s="1"/>
      <c r="F65" s="5">
        <f t="shared" si="36"/>
        <v>2.5330494759120629E-2</v>
      </c>
      <c r="G65" s="1"/>
      <c r="H65" s="1">
        <f>SUM(OSRRefH22_8x_0)</f>
        <v>650</v>
      </c>
      <c r="I65" s="1"/>
      <c r="J65" s="5">
        <f t="shared" si="37"/>
        <v>8.6430423509075201E-3</v>
      </c>
      <c r="K65" s="1"/>
      <c r="L65" s="1">
        <f t="shared" si="38"/>
        <v>0</v>
      </c>
      <c r="M65" s="1"/>
      <c r="N65" s="5">
        <f t="shared" si="39"/>
        <v>0</v>
      </c>
      <c r="O65" s="14"/>
      <c r="P65" s="1">
        <f>SUM(OSRRefP22_8x_0)</f>
        <v>1950</v>
      </c>
      <c r="Q65" s="1"/>
      <c r="R65" s="5">
        <f t="shared" si="40"/>
        <v>4.6235581907993081E-2</v>
      </c>
      <c r="S65" s="1"/>
      <c r="T65" s="1">
        <f>SUM(OSRRefT22_8x_0)</f>
        <v>1950</v>
      </c>
      <c r="U65" s="1"/>
      <c r="V65" s="5">
        <f t="shared" si="41"/>
        <v>1.505245200583572E-2</v>
      </c>
      <c r="W65" s="1"/>
      <c r="X65" s="1">
        <f t="shared" si="42"/>
        <v>0</v>
      </c>
      <c r="Y65" s="1"/>
      <c r="Z65" s="5">
        <f t="shared" si="43"/>
        <v>0</v>
      </c>
    </row>
    <row r="66" spans="1:26" s="24" customFormat="1" hidden="1" outlineLevel="2" x14ac:dyDescent="0.25">
      <c r="A66" s="29"/>
      <c r="B66" s="11" t="str">
        <f>CONCATENATE("          ", "6408", " - ", "INVENTORY ADJUSTMENT")</f>
        <v xml:space="preserve">          6408 - INVENTORY ADJUSTMENT</v>
      </c>
      <c r="C66" s="11"/>
      <c r="D66" s="7">
        <v>650</v>
      </c>
      <c r="E66" s="2"/>
      <c r="F66" s="6">
        <f t="shared" si="36"/>
        <v>2.5330494759120629E-2</v>
      </c>
      <c r="G66" s="2"/>
      <c r="H66" s="7">
        <v>650</v>
      </c>
      <c r="I66" s="2"/>
      <c r="J66" s="6">
        <f t="shared" si="37"/>
        <v>8.6430423509075201E-3</v>
      </c>
      <c r="K66" s="2"/>
      <c r="L66" s="7">
        <f t="shared" si="38"/>
        <v>0</v>
      </c>
      <c r="M66" s="2"/>
      <c r="N66" s="6">
        <f t="shared" si="39"/>
        <v>0</v>
      </c>
      <c r="O66" s="11"/>
      <c r="P66" s="7">
        <v>1950</v>
      </c>
      <c r="Q66" s="2"/>
      <c r="R66" s="6">
        <f t="shared" si="40"/>
        <v>4.6235581907993081E-2</v>
      </c>
      <c r="S66" s="2"/>
      <c r="T66" s="7">
        <v>1950</v>
      </c>
      <c r="U66" s="2"/>
      <c r="V66" s="6">
        <f t="shared" si="41"/>
        <v>1.505245200583572E-2</v>
      </c>
      <c r="W66" s="2"/>
      <c r="X66" s="7">
        <f t="shared" si="42"/>
        <v>0</v>
      </c>
      <c r="Y66" s="2"/>
      <c r="Z66" s="6">
        <f t="shared" si="43"/>
        <v>0</v>
      </c>
    </row>
    <row r="67" spans="1:26" s="28" customFormat="1" outlineLevel="1" collapsed="1" x14ac:dyDescent="0.25">
      <c r="A67" s="27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SUM(OSRRefD22_9x_0)</f>
        <v>61.11</v>
      </c>
      <c r="E67" s="1"/>
      <c r="F67" s="5">
        <f t="shared" si="36"/>
        <v>2.3814562072767102E-3</v>
      </c>
      <c r="G67" s="1"/>
      <c r="H67" s="1">
        <f>SUM(OSRRefH22_9x_0)</f>
        <v>0</v>
      </c>
      <c r="I67" s="1"/>
      <c r="J67" s="5">
        <f t="shared" si="37"/>
        <v>0</v>
      </c>
      <c r="K67" s="1"/>
      <c r="L67" s="1">
        <f t="shared" si="38"/>
        <v>61.11</v>
      </c>
      <c r="M67" s="1"/>
      <c r="N67" s="5">
        <f t="shared" si="39"/>
        <v>0</v>
      </c>
      <c r="O67" s="14"/>
      <c r="P67" s="1">
        <f>SUM(OSRRefP22_9x_0)</f>
        <v>234.79000000000002</v>
      </c>
      <c r="Q67" s="1"/>
      <c r="R67" s="5">
        <f t="shared" si="40"/>
        <v>5.5670011672706143E-3</v>
      </c>
      <c r="S67" s="1"/>
      <c r="T67" s="1">
        <f>SUM(OSRRefT22_9x_0)</f>
        <v>0</v>
      </c>
      <c r="U67" s="1"/>
      <c r="V67" s="5">
        <f t="shared" si="41"/>
        <v>0</v>
      </c>
      <c r="W67" s="1"/>
      <c r="X67" s="1">
        <f t="shared" si="42"/>
        <v>234.79000000000002</v>
      </c>
      <c r="Y67" s="1"/>
      <c r="Z67" s="5">
        <f t="shared" si="43"/>
        <v>0</v>
      </c>
    </row>
    <row r="68" spans="1:26" s="24" customFormat="1" hidden="1" outlineLevel="2" x14ac:dyDescent="0.25">
      <c r="A68" s="29"/>
      <c r="B68" s="11" t="str">
        <f>CONCATENATE("          ", "6373", " - ", "MAINTENANCE CONTRACTS")</f>
        <v xml:space="preserve">          6373 - MAINTENANCE CONTRACTS</v>
      </c>
      <c r="C68" s="11"/>
      <c r="D68" s="7">
        <v>61.11</v>
      </c>
      <c r="E68" s="2"/>
      <c r="F68" s="6">
        <f t="shared" si="36"/>
        <v>2.3814562072767102E-3</v>
      </c>
      <c r="G68" s="2"/>
      <c r="H68" s="7"/>
      <c r="I68" s="2"/>
      <c r="J68" s="6">
        <f t="shared" si="37"/>
        <v>0</v>
      </c>
      <c r="K68" s="2"/>
      <c r="L68" s="7">
        <f t="shared" si="38"/>
        <v>61.11</v>
      </c>
      <c r="M68" s="2"/>
      <c r="N68" s="6">
        <f t="shared" si="39"/>
        <v>0</v>
      </c>
      <c r="O68" s="11"/>
      <c r="P68" s="7">
        <v>61.11</v>
      </c>
      <c r="Q68" s="2"/>
      <c r="R68" s="6">
        <f t="shared" si="40"/>
        <v>1.4489520053320294E-3</v>
      </c>
      <c r="S68" s="2"/>
      <c r="T68" s="7"/>
      <c r="U68" s="2"/>
      <c r="V68" s="6">
        <f t="shared" si="41"/>
        <v>0</v>
      </c>
      <c r="W68" s="2"/>
      <c r="X68" s="7">
        <f t="shared" si="42"/>
        <v>61.11</v>
      </c>
      <c r="Y68" s="2"/>
      <c r="Z68" s="6">
        <f t="shared" si="43"/>
        <v>0</v>
      </c>
    </row>
    <row r="69" spans="1:26" s="24" customFormat="1" hidden="1" outlineLevel="2" x14ac:dyDescent="0.25">
      <c r="A69" s="29"/>
      <c r="B69" s="11" t="str">
        <f>CONCATENATE("          ", "6375", " - ", "OUTSIDE REPAIRS &amp; MAINTENANCE")</f>
        <v xml:space="preserve">          6375 - OUTSIDE REPAIRS &amp; MAINTENANCE</v>
      </c>
      <c r="C69" s="11"/>
      <c r="D69" s="7"/>
      <c r="E69" s="2"/>
      <c r="F69" s="6">
        <f t="shared" si="36"/>
        <v>0</v>
      </c>
      <c r="G69" s="2"/>
      <c r="H69" s="7"/>
      <c r="I69" s="2"/>
      <c r="J69" s="6">
        <f t="shared" si="37"/>
        <v>0</v>
      </c>
      <c r="K69" s="2"/>
      <c r="L69" s="7">
        <f t="shared" si="38"/>
        <v>0</v>
      </c>
      <c r="M69" s="2"/>
      <c r="N69" s="6">
        <f t="shared" si="39"/>
        <v>0</v>
      </c>
      <c r="O69" s="11"/>
      <c r="P69" s="7">
        <v>173.68</v>
      </c>
      <c r="Q69" s="2"/>
      <c r="R69" s="6">
        <f t="shared" si="40"/>
        <v>4.1180491619385844E-3</v>
      </c>
      <c r="S69" s="2"/>
      <c r="T69" s="7"/>
      <c r="U69" s="2"/>
      <c r="V69" s="6">
        <f t="shared" si="41"/>
        <v>0</v>
      </c>
      <c r="W69" s="2"/>
      <c r="X69" s="7">
        <f t="shared" si="42"/>
        <v>173.68</v>
      </c>
      <c r="Y69" s="2"/>
      <c r="Z69" s="6">
        <f t="shared" si="43"/>
        <v>0</v>
      </c>
    </row>
    <row r="70" spans="1:26" s="28" customFormat="1" outlineLevel="1" collapsed="1" x14ac:dyDescent="0.25">
      <c r="A70" s="27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SUM(OSRRefD22_10x_0)</f>
        <v>312.45</v>
      </c>
      <c r="E70" s="1"/>
      <c r="F70" s="5">
        <f t="shared" ref="F70:F72" si="44">IF(D$12=0,0,D70/D$12)</f>
        <v>1.2176173980749602E-2</v>
      </c>
      <c r="G70" s="1"/>
      <c r="H70" s="1">
        <f>SUM(OSRRefH22_10x_0)</f>
        <v>0</v>
      </c>
      <c r="I70" s="1"/>
      <c r="J70" s="5">
        <f t="shared" ref="J70:J72" si="45">IF(H$12=0,0,H70/H$12)</f>
        <v>0</v>
      </c>
      <c r="K70" s="1"/>
      <c r="L70" s="1">
        <f t="shared" ref="L70:L72" si="46">+D70-H70</f>
        <v>312.45</v>
      </c>
      <c r="M70" s="1"/>
      <c r="N70" s="5">
        <f t="shared" ref="N70:N72" si="47">IF(H70=0,0,L70/H70)</f>
        <v>0</v>
      </c>
      <c r="O70" s="14"/>
      <c r="P70" s="1">
        <f>SUM(OSRRefP22_10x_0)</f>
        <v>2613.94</v>
      </c>
      <c r="Q70" s="1"/>
      <c r="R70" s="5">
        <f t="shared" ref="R70:R72" si="48">IF(P$12=0,0,P70/P$12)</f>
        <v>6.1977967678245871E-2</v>
      </c>
      <c r="S70" s="1"/>
      <c r="T70" s="1">
        <f>SUM(OSRRefT22_10x_0)</f>
        <v>0</v>
      </c>
      <c r="U70" s="1"/>
      <c r="V70" s="5">
        <f t="shared" ref="V70:V72" si="49">IF(T$12=0,0,T70/T$12)</f>
        <v>0</v>
      </c>
      <c r="W70" s="1"/>
      <c r="X70" s="1">
        <f t="shared" ref="X70:X72" si="50">+P70-T70</f>
        <v>2613.94</v>
      </c>
      <c r="Y70" s="1"/>
      <c r="Z70" s="5">
        <f t="shared" ref="Z70:Z72" si="51">IF(T70=0,0,X70/T70)</f>
        <v>0</v>
      </c>
    </row>
    <row r="71" spans="1:26" s="24" customFormat="1" hidden="1" outlineLevel="2" x14ac:dyDescent="0.25">
      <c r="A71" s="29"/>
      <c r="B71" s="11" t="str">
        <f>CONCATENATE("          ", "6282", " - ", "JANITORIAL/EXTERMINATOR EXPENS")</f>
        <v xml:space="preserve">          6282 - JANITORIAL/EXTERMINATOR EXPENS</v>
      </c>
      <c r="C71" s="11"/>
      <c r="D71" s="7">
        <v>271.3</v>
      </c>
      <c r="E71" s="2"/>
      <c r="F71" s="6">
        <f t="shared" si="44"/>
        <v>1.057255881253758E-2</v>
      </c>
      <c r="G71" s="2"/>
      <c r="H71" s="7"/>
      <c r="I71" s="2"/>
      <c r="J71" s="6">
        <f t="shared" si="45"/>
        <v>0</v>
      </c>
      <c r="K71" s="2"/>
      <c r="L71" s="7">
        <f t="shared" si="46"/>
        <v>271.3</v>
      </c>
      <c r="M71" s="2"/>
      <c r="N71" s="6">
        <f t="shared" si="47"/>
        <v>0</v>
      </c>
      <c r="O71" s="11"/>
      <c r="P71" s="7">
        <v>271.3</v>
      </c>
      <c r="Q71" s="2"/>
      <c r="R71" s="6">
        <f t="shared" si="48"/>
        <v>6.4326735239171916E-3</v>
      </c>
      <c r="S71" s="2"/>
      <c r="T71" s="7"/>
      <c r="U71" s="2"/>
      <c r="V71" s="6">
        <f t="shared" si="49"/>
        <v>0</v>
      </c>
      <c r="W71" s="2"/>
      <c r="X71" s="7">
        <f t="shared" si="50"/>
        <v>271.3</v>
      </c>
      <c r="Y71" s="2"/>
      <c r="Z71" s="6">
        <f t="shared" si="51"/>
        <v>0</v>
      </c>
    </row>
    <row r="72" spans="1:26" s="24" customFormat="1" hidden="1" outlineLevel="2" x14ac:dyDescent="0.25">
      <c r="A72" s="29"/>
      <c r="B72" s="11" t="str">
        <f>CONCATENATE("          ", "6285", " - ", "JANITORIAL SERVICES")</f>
        <v xml:space="preserve">          6285 - JANITORIAL SERVICES</v>
      </c>
      <c r="C72" s="11"/>
      <c r="D72" s="7">
        <v>41.15</v>
      </c>
      <c r="E72" s="2"/>
      <c r="F72" s="6">
        <f t="shared" si="44"/>
        <v>1.6036151682120214E-3</v>
      </c>
      <c r="G72" s="2"/>
      <c r="H72" s="7"/>
      <c r="I72" s="2"/>
      <c r="J72" s="6">
        <f t="shared" si="45"/>
        <v>0</v>
      </c>
      <c r="K72" s="2"/>
      <c r="L72" s="7">
        <f t="shared" si="46"/>
        <v>41.15</v>
      </c>
      <c r="M72" s="2"/>
      <c r="N72" s="6">
        <f t="shared" si="47"/>
        <v>0</v>
      </c>
      <c r="O72" s="11"/>
      <c r="P72" s="7">
        <v>2342.64</v>
      </c>
      <c r="Q72" s="2"/>
      <c r="R72" s="6">
        <f t="shared" si="48"/>
        <v>5.554529415432867E-2</v>
      </c>
      <c r="S72" s="2"/>
      <c r="T72" s="7"/>
      <c r="U72" s="2"/>
      <c r="V72" s="6">
        <f t="shared" si="49"/>
        <v>0</v>
      </c>
      <c r="W72" s="2"/>
      <c r="X72" s="7">
        <f t="shared" si="50"/>
        <v>2342.64</v>
      </c>
      <c r="Y72" s="2"/>
      <c r="Z72" s="6">
        <f t="shared" si="51"/>
        <v>0</v>
      </c>
    </row>
    <row r="73" spans="1:26" s="28" customFormat="1" outlineLevel="1" collapsed="1" x14ac:dyDescent="0.25">
      <c r="A73" s="27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SUM(OSRRefD22_11x_0)</f>
        <v>148.38999999999999</v>
      </c>
      <c r="E73" s="1"/>
      <c r="F73" s="5">
        <f t="shared" ref="F73:F76" si="52">IF(D$12=0,0,D73/D$12)</f>
        <v>5.7827571035475537E-3</v>
      </c>
      <c r="G73" s="1"/>
      <c r="H73" s="1">
        <f>SUM(OSRRefH22_11x_0)</f>
        <v>75</v>
      </c>
      <c r="I73" s="1"/>
      <c r="J73" s="5">
        <f t="shared" ref="J73:J76" si="53">IF(H$12=0,0,H73/H$12)</f>
        <v>9.97274117412406E-4</v>
      </c>
      <c r="K73" s="1"/>
      <c r="L73" s="1">
        <f t="shared" ref="L73:L76" si="54">+D73-H73</f>
        <v>73.389999999999986</v>
      </c>
      <c r="M73" s="1"/>
      <c r="N73" s="5">
        <f t="shared" ref="N73:N76" si="55">IF(H73=0,0,L73/H73)</f>
        <v>0.97853333333333314</v>
      </c>
      <c r="O73" s="14"/>
      <c r="P73" s="1">
        <f>SUM(OSRRefP22_11x_0)</f>
        <v>248.44</v>
      </c>
      <c r="Q73" s="1"/>
      <c r="R73" s="5">
        <f t="shared" ref="R73:R76" si="56">IF(P$12=0,0,P73/P$12)</f>
        <v>5.8906502406265646E-3</v>
      </c>
      <c r="S73" s="1"/>
      <c r="T73" s="1">
        <f>SUM(OSRRefT22_11x_0)</f>
        <v>225</v>
      </c>
      <c r="U73" s="1"/>
      <c r="V73" s="5">
        <f t="shared" ref="V73:V76" si="57">IF(T$12=0,0,T73/T$12)</f>
        <v>1.7368213852887368E-3</v>
      </c>
      <c r="W73" s="1"/>
      <c r="X73" s="1">
        <f t="shared" ref="X73:X76" si="58">+P73-T73</f>
        <v>23.439999999999998</v>
      </c>
      <c r="Y73" s="1"/>
      <c r="Z73" s="5">
        <f t="shared" ref="Z73:Z76" si="59">IF(T73=0,0,X73/T73)</f>
        <v>0.10417777777777777</v>
      </c>
    </row>
    <row r="74" spans="1:26" s="24" customFormat="1" hidden="1" outlineLevel="2" x14ac:dyDescent="0.25">
      <c r="A74" s="29"/>
      <c r="B74" s="11" t="str">
        <f>CONCATENATE("          ", "6235", " - ", "COVID-19 EXPENSES")</f>
        <v xml:space="preserve">          6235 - COVID-19 EXPENSES</v>
      </c>
      <c r="C74" s="11"/>
      <c r="D74" s="7"/>
      <c r="E74" s="2"/>
      <c r="F74" s="6">
        <f t="shared" si="52"/>
        <v>0</v>
      </c>
      <c r="G74" s="2"/>
      <c r="H74" s="7">
        <v>25</v>
      </c>
      <c r="I74" s="2"/>
      <c r="J74" s="6">
        <f t="shared" si="53"/>
        <v>3.3242470580413535E-4</v>
      </c>
      <c r="K74" s="2"/>
      <c r="L74" s="7">
        <f t="shared" si="54"/>
        <v>-25</v>
      </c>
      <c r="M74" s="2"/>
      <c r="N74" s="6">
        <f t="shared" si="55"/>
        <v>-1</v>
      </c>
      <c r="O74" s="11"/>
      <c r="P74" s="7"/>
      <c r="Q74" s="2"/>
      <c r="R74" s="6">
        <f t="shared" si="56"/>
        <v>0</v>
      </c>
      <c r="S74" s="2"/>
      <c r="T74" s="7">
        <v>75</v>
      </c>
      <c r="U74" s="2"/>
      <c r="V74" s="6">
        <f t="shared" si="57"/>
        <v>5.7894046176291231E-4</v>
      </c>
      <c r="W74" s="2"/>
      <c r="X74" s="7">
        <f t="shared" si="58"/>
        <v>-75</v>
      </c>
      <c r="Y74" s="2"/>
      <c r="Z74" s="6">
        <f t="shared" si="59"/>
        <v>-1</v>
      </c>
    </row>
    <row r="75" spans="1:26" s="24" customFormat="1" hidden="1" outlineLevel="2" x14ac:dyDescent="0.25">
      <c r="A75" s="29"/>
      <c r="B75" s="11" t="str">
        <f>CONCATENATE("          ", "6241", " - ", "OFFICE EXPENSE")</f>
        <v xml:space="preserve">          6241 - OFFICE EXPENSE</v>
      </c>
      <c r="C75" s="11"/>
      <c r="D75" s="7"/>
      <c r="E75" s="2"/>
      <c r="F75" s="6">
        <f t="shared" si="52"/>
        <v>0</v>
      </c>
      <c r="G75" s="2"/>
      <c r="H75" s="7">
        <v>25</v>
      </c>
      <c r="I75" s="2"/>
      <c r="J75" s="6">
        <f t="shared" si="53"/>
        <v>3.3242470580413535E-4</v>
      </c>
      <c r="K75" s="2"/>
      <c r="L75" s="7">
        <f t="shared" si="54"/>
        <v>-25</v>
      </c>
      <c r="M75" s="2"/>
      <c r="N75" s="6">
        <f t="shared" si="55"/>
        <v>-1</v>
      </c>
      <c r="O75" s="11"/>
      <c r="P75" s="7"/>
      <c r="Q75" s="2"/>
      <c r="R75" s="6">
        <f t="shared" si="56"/>
        <v>0</v>
      </c>
      <c r="S75" s="2"/>
      <c r="T75" s="7">
        <v>75</v>
      </c>
      <c r="U75" s="2"/>
      <c r="V75" s="6">
        <f t="shared" si="57"/>
        <v>5.7894046176291231E-4</v>
      </c>
      <c r="W75" s="2"/>
      <c r="X75" s="7">
        <f t="shared" si="58"/>
        <v>-75</v>
      </c>
      <c r="Y75" s="2"/>
      <c r="Z75" s="6">
        <f t="shared" si="59"/>
        <v>-1</v>
      </c>
    </row>
    <row r="76" spans="1:26" s="24" customFormat="1" hidden="1" outlineLevel="2" x14ac:dyDescent="0.25">
      <c r="A76" s="29"/>
      <c r="B76" s="11" t="str">
        <f>CONCATENATE("          ", "6247", " - ", "STORE SUPPLIES")</f>
        <v xml:space="preserve">          6247 - STORE SUPPLIES</v>
      </c>
      <c r="C76" s="11"/>
      <c r="D76" s="7">
        <v>148.38999999999999</v>
      </c>
      <c r="E76" s="2"/>
      <c r="F76" s="6">
        <f t="shared" si="52"/>
        <v>5.7827571035475537E-3</v>
      </c>
      <c r="G76" s="2"/>
      <c r="H76" s="7">
        <v>25</v>
      </c>
      <c r="I76" s="2"/>
      <c r="J76" s="6">
        <f t="shared" si="53"/>
        <v>3.3242470580413535E-4</v>
      </c>
      <c r="K76" s="2"/>
      <c r="L76" s="7">
        <f t="shared" si="54"/>
        <v>123.38999999999999</v>
      </c>
      <c r="M76" s="2"/>
      <c r="N76" s="6">
        <f t="shared" si="55"/>
        <v>4.9355999999999991</v>
      </c>
      <c r="O76" s="11"/>
      <c r="P76" s="7">
        <v>248.44</v>
      </c>
      <c r="Q76" s="2"/>
      <c r="R76" s="6">
        <f t="shared" si="56"/>
        <v>5.8906502406265646E-3</v>
      </c>
      <c r="S76" s="2"/>
      <c r="T76" s="7">
        <v>75</v>
      </c>
      <c r="U76" s="2"/>
      <c r="V76" s="6">
        <f t="shared" si="57"/>
        <v>5.7894046176291231E-4</v>
      </c>
      <c r="W76" s="2"/>
      <c r="X76" s="7">
        <f t="shared" si="58"/>
        <v>173.44</v>
      </c>
      <c r="Y76" s="2"/>
      <c r="Z76" s="6">
        <f t="shared" si="59"/>
        <v>2.3125333333333331</v>
      </c>
    </row>
    <row r="77" spans="1:26" s="28" customFormat="1" outlineLevel="1" collapsed="1" x14ac:dyDescent="0.25">
      <c r="A77" s="27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SUM(OSRRefD22_12x_0)</f>
        <v>53</v>
      </c>
      <c r="E77" s="1"/>
      <c r="F77" s="5">
        <f t="shared" ref="F77:F78" si="60">IF(D$12=0,0,D77/D$12)</f>
        <v>2.0654095726667589E-3</v>
      </c>
      <c r="G77" s="1"/>
      <c r="H77" s="1">
        <f>SUM(OSRRefH22_12x_0)</f>
        <v>60</v>
      </c>
      <c r="I77" s="1"/>
      <c r="J77" s="5">
        <f t="shared" ref="J77:J78" si="61">IF(H$12=0,0,H77/H$12)</f>
        <v>7.9781929392992485E-4</v>
      </c>
      <c r="K77" s="1"/>
      <c r="L77" s="1">
        <f t="shared" ref="L77:L78" si="62">+D77-H77</f>
        <v>-7</v>
      </c>
      <c r="M77" s="1"/>
      <c r="N77" s="5">
        <f t="shared" ref="N77:N78" si="63">IF(H77=0,0,L77/H77)</f>
        <v>-0.11666666666666667</v>
      </c>
      <c r="O77" s="14"/>
      <c r="P77" s="1">
        <f>SUM(OSRRefP22_12x_0)</f>
        <v>119</v>
      </c>
      <c r="Q77" s="1"/>
      <c r="R77" s="5">
        <f t="shared" ref="R77:R78" si="64">IF(P$12=0,0,P77/P$12)</f>
        <v>2.8215560241288086E-3</v>
      </c>
      <c r="S77" s="1"/>
      <c r="T77" s="1">
        <f>SUM(OSRRefT22_12x_0)</f>
        <v>180</v>
      </c>
      <c r="U77" s="1"/>
      <c r="V77" s="5">
        <f t="shared" ref="V77:V78" si="65">IF(T$12=0,0,T77/T$12)</f>
        <v>1.3894571082309895E-3</v>
      </c>
      <c r="W77" s="1"/>
      <c r="X77" s="1">
        <f t="shared" ref="X77:X78" si="66">+P77-T77</f>
        <v>-61</v>
      </c>
      <c r="Y77" s="1"/>
      <c r="Z77" s="5">
        <f t="shared" ref="Z77:Z78" si="67">IF(T77=0,0,X77/T77)</f>
        <v>-0.33888888888888891</v>
      </c>
    </row>
    <row r="78" spans="1:26" s="24" customFormat="1" hidden="1" outlineLevel="2" x14ac:dyDescent="0.25">
      <c r="A78" s="29"/>
      <c r="B78" s="11" t="str">
        <f>CONCATENATE("          ", "6309", " - ", "TELEPHONE")</f>
        <v xml:space="preserve">          6309 - TELEPHONE</v>
      </c>
      <c r="C78" s="11"/>
      <c r="D78" s="7">
        <v>53</v>
      </c>
      <c r="E78" s="2"/>
      <c r="F78" s="6">
        <f t="shared" si="60"/>
        <v>2.0654095726667589E-3</v>
      </c>
      <c r="G78" s="2"/>
      <c r="H78" s="7">
        <v>60</v>
      </c>
      <c r="I78" s="2"/>
      <c r="J78" s="6">
        <f t="shared" si="61"/>
        <v>7.9781929392992485E-4</v>
      </c>
      <c r="K78" s="2"/>
      <c r="L78" s="7">
        <f t="shared" si="62"/>
        <v>-7</v>
      </c>
      <c r="M78" s="2"/>
      <c r="N78" s="6">
        <f t="shared" si="63"/>
        <v>-0.11666666666666667</v>
      </c>
      <c r="O78" s="11"/>
      <c r="P78" s="7">
        <v>119</v>
      </c>
      <c r="Q78" s="2"/>
      <c r="R78" s="6">
        <f t="shared" si="64"/>
        <v>2.8215560241288086E-3</v>
      </c>
      <c r="S78" s="2"/>
      <c r="T78" s="7">
        <v>180</v>
      </c>
      <c r="U78" s="2"/>
      <c r="V78" s="6">
        <f t="shared" si="65"/>
        <v>1.3894571082309895E-3</v>
      </c>
      <c r="W78" s="2"/>
      <c r="X78" s="7">
        <f t="shared" si="66"/>
        <v>-61</v>
      </c>
      <c r="Y78" s="2"/>
      <c r="Z78" s="6">
        <f t="shared" si="67"/>
        <v>-0.33888888888888891</v>
      </c>
    </row>
    <row r="79" spans="1:26" s="58" customFormat="1" x14ac:dyDescent="0.25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6" t="s">
        <v>293</v>
      </c>
      <c r="C80" s="10"/>
      <c r="D80" s="4">
        <f>SUM(0)</f>
        <v>0</v>
      </c>
      <c r="E80" s="4"/>
      <c r="F80" s="12">
        <f>IF(D$12=0,0,D80/D$12)</f>
        <v>0</v>
      </c>
      <c r="G80" s="4"/>
      <c r="H80" s="4">
        <f>SUM(0)</f>
        <v>0</v>
      </c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>
        <f>SUM(0)</f>
        <v>0</v>
      </c>
      <c r="Q80" s="4"/>
      <c r="R80" s="12">
        <f>IF(P$12=0,0,P80/P$12)</f>
        <v>0</v>
      </c>
      <c r="S80" s="4"/>
      <c r="T80" s="4">
        <f>SUM(0)</f>
        <v>0</v>
      </c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5" t="s">
        <v>277</v>
      </c>
      <c r="C82" s="25"/>
      <c r="D82" s="21">
        <f>+D29-D31+D80</f>
        <v>9541.3600000000042</v>
      </c>
      <c r="E82" s="13"/>
      <c r="F82" s="20">
        <f>IF(D$12=0,0,D82/D$12)</f>
        <v>0.37182672226905128</v>
      </c>
      <c r="G82" s="13"/>
      <c r="H82" s="21">
        <f>+H29-H31+H80</f>
        <v>22244.384399999999</v>
      </c>
      <c r="I82" s="13"/>
      <c r="J82" s="20">
        <f>IF(H$12=0,0,H82/H$12)</f>
        <v>0.29578331759856391</v>
      </c>
      <c r="K82" s="16"/>
      <c r="L82" s="21">
        <f>+D82-H82</f>
        <v>-12703.024399999995</v>
      </c>
      <c r="M82" s="16"/>
      <c r="N82" s="20">
        <f>IF(H82=0,0,L82/H82)</f>
        <v>-0.57106657444743647</v>
      </c>
      <c r="O82" s="26"/>
      <c r="P82" s="21">
        <f>+P29-P31+P80</f>
        <v>12116.840000000007</v>
      </c>
      <c r="Q82" s="13"/>
      <c r="R82" s="20">
        <f>IF(P$12=0,0,P82/P$12)</f>
        <v>0.28729699912104989</v>
      </c>
      <c r="S82" s="13"/>
      <c r="T82" s="21">
        <f>+T29-T31+T80</f>
        <v>20369.711949999997</v>
      </c>
      <c r="U82" s="13"/>
      <c r="V82" s="20">
        <f>IF(T$12=0,0,T82/T$12)</f>
        <v>0.15723800589747347</v>
      </c>
      <c r="W82" s="16"/>
      <c r="X82" s="21">
        <f>+P82-T82</f>
        <v>-8252.8719499999897</v>
      </c>
      <c r="Y82" s="16"/>
      <c r="Z82" s="20">
        <f>IF(T82=0,0,X82/T82)</f>
        <v>-0.40515408221076937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2"/>
      <c r="B84" s="10" t="s">
        <v>128</v>
      </c>
      <c r="C84" s="10"/>
      <c r="D84" s="4">
        <v>2752.46</v>
      </c>
      <c r="E84" s="4"/>
      <c r="F84" s="12">
        <f>IF(D$12=0,0,D84/D$12)</f>
        <v>0.10726334400721411</v>
      </c>
      <c r="G84" s="4"/>
      <c r="H84" s="4">
        <v>7981</v>
      </c>
      <c r="I84" s="4"/>
      <c r="J84" s="12">
        <f>IF(H$12=0,0,H84/H$12)</f>
        <v>0.10612326308091218</v>
      </c>
      <c r="K84" s="4"/>
      <c r="L84" s="4">
        <f>+D84-H84</f>
        <v>-5228.54</v>
      </c>
      <c r="M84" s="4"/>
      <c r="N84" s="12">
        <f>IF(H84=0,0,L84/H84)</f>
        <v>-0.65512341811803032</v>
      </c>
      <c r="O84" s="10"/>
      <c r="P84" s="4">
        <v>5220.28</v>
      </c>
      <c r="Q84" s="4"/>
      <c r="R84" s="12">
        <f>IF(P$12=0,0,P84/P$12)</f>
        <v>0.12377573513982468</v>
      </c>
      <c r="S84" s="4"/>
      <c r="T84" s="4">
        <v>14067</v>
      </c>
      <c r="U84" s="4"/>
      <c r="V84" s="12">
        <f>IF(T$12=0,0,T84/T$12)</f>
        <v>0.10858607300825183</v>
      </c>
      <c r="W84" s="4"/>
      <c r="X84" s="4">
        <f>+P84-T84</f>
        <v>-8846.7200000000012</v>
      </c>
      <c r="Y84" s="4"/>
      <c r="Z84" s="12">
        <f>IF(T84=0,0,X84/T84)</f>
        <v>-0.62889884125968587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5" t="s">
        <v>126</v>
      </c>
      <c r="C86" s="25"/>
      <c r="D86" s="33">
        <f>+D82-D84</f>
        <v>6788.9000000000042</v>
      </c>
      <c r="E86" s="13"/>
      <c r="F86" s="31">
        <f>IF(D$12=0,0,D86/D$12)</f>
        <v>0.26456337826183718</v>
      </c>
      <c r="G86" s="13"/>
      <c r="H86" s="33">
        <f>+H82-H84</f>
        <v>14263.384399999999</v>
      </c>
      <c r="I86" s="13"/>
      <c r="J86" s="31">
        <f>IF(H$12=0,0,H86/H$12)</f>
        <v>0.18966005451765175</v>
      </c>
      <c r="K86" s="16"/>
      <c r="L86" s="33">
        <f>D86-H86</f>
        <v>-7474.4843999999948</v>
      </c>
      <c r="M86" s="16"/>
      <c r="N86" s="31">
        <f>IF(H86=0,0,L86/H86)</f>
        <v>-0.5240330198210178</v>
      </c>
      <c r="O86" s="26"/>
      <c r="P86" s="33">
        <f>+P82-P84</f>
        <v>6896.5600000000077</v>
      </c>
      <c r="Q86" s="13"/>
      <c r="R86" s="31">
        <f>IF(P$12=0,0,P86/P$12)</f>
        <v>0.16352126398122518</v>
      </c>
      <c r="S86" s="13"/>
      <c r="T86" s="33">
        <f>+T82-T84</f>
        <v>6302.7119499999972</v>
      </c>
      <c r="U86" s="13"/>
      <c r="V86" s="31">
        <f>IF(T$12=0,0,T86/T$12)</f>
        <v>4.865193288922165E-2</v>
      </c>
      <c r="W86" s="16"/>
      <c r="X86" s="33">
        <f>P86-T86</f>
        <v>593.84805000001052</v>
      </c>
      <c r="Y86" s="16"/>
      <c r="Z86" s="31">
        <f>IF(T86=0,0,X86/T86)</f>
        <v>9.4221036073211431E-2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5" t="s">
        <v>294</v>
      </c>
      <c r="C89" s="25"/>
      <c r="D89" s="35">
        <f>SUM(D86:D88)</f>
        <v>6788.9000000000042</v>
      </c>
      <c r="E89" s="13"/>
      <c r="F89" s="34">
        <f>IF(D$12=0,0,D89/D$12)</f>
        <v>0.26456337826183718</v>
      </c>
      <c r="G89" s="13"/>
      <c r="H89" s="35">
        <f>SUM(H86:H88)</f>
        <v>14263.384399999999</v>
      </c>
      <c r="I89" s="13"/>
      <c r="J89" s="34">
        <f>IF(H$12=0,0,H89/H$12)</f>
        <v>0.18966005451765175</v>
      </c>
      <c r="K89" s="16"/>
      <c r="L89" s="35">
        <f>+D89-H89</f>
        <v>-7474.4843999999948</v>
      </c>
      <c r="M89" s="16"/>
      <c r="N89" s="34">
        <f>IF(H89=0,0,L89/H89)</f>
        <v>-0.5240330198210178</v>
      </c>
      <c r="O89" s="26"/>
      <c r="P89" s="35">
        <f>SUM(P86:P88)</f>
        <v>6896.5600000000077</v>
      </c>
      <c r="Q89" s="13"/>
      <c r="R89" s="34">
        <f>IF(P$12=0,0,P89/P$12)</f>
        <v>0.16352126398122518</v>
      </c>
      <c r="S89" s="13"/>
      <c r="T89" s="35">
        <f>SUM(T86:T88)</f>
        <v>6302.7119499999972</v>
      </c>
      <c r="U89" s="13"/>
      <c r="V89" s="34">
        <f>IF(T$12=0,0,T89/T$12)</f>
        <v>4.865193288922165E-2</v>
      </c>
      <c r="W89" s="16"/>
      <c r="X89" s="35">
        <f>+P89-T89</f>
        <v>593.84805000001052</v>
      </c>
      <c r="Y89" s="16"/>
      <c r="Z89" s="34">
        <f>IF(T89=0,0,X89/T89)</f>
        <v>9.4221036073211431E-2</v>
      </c>
    </row>
    <row r="90" spans="1:26" ht="15.75" thickTop="1" x14ac:dyDescent="0.25">
      <c r="A90" s="9"/>
      <c r="C90" s="9"/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61">
        <v>44481.978956793981</v>
      </c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56" t="s">
        <v>56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4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outlinePr summaryBelow="0" summaryRight="0"/>
  </sheetPr>
  <dimension ref="A2:Z9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21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234356.63999999998</v>
      </c>
      <c r="E12" s="4"/>
      <c r="F12" s="12"/>
      <c r="G12" s="4"/>
      <c r="H12" s="4">
        <f>SUM(OSRRefH13x_0)</f>
        <v>469104</v>
      </c>
      <c r="I12" s="4"/>
      <c r="J12" s="12"/>
      <c r="K12" s="4"/>
      <c r="L12" s="4">
        <f t="shared" ref="L12:L16" si="0">+D12-H12</f>
        <v>-234747.36000000002</v>
      </c>
      <c r="M12" s="4"/>
      <c r="N12" s="12">
        <f t="shared" ref="N12:N16" si="1">IF(H12=0,0,L12/H12)</f>
        <v>-0.50041645349432107</v>
      </c>
      <c r="O12" s="10"/>
      <c r="P12" s="4">
        <f>SUM(OSRRefP13x_0)</f>
        <v>1306142.0999999999</v>
      </c>
      <c r="Q12" s="4"/>
      <c r="R12" s="12"/>
      <c r="S12" s="4"/>
      <c r="T12" s="4">
        <f>SUM(OSRRefT13x_0)</f>
        <v>2752469</v>
      </c>
      <c r="U12" s="4"/>
      <c r="V12" s="12"/>
      <c r="W12" s="4"/>
      <c r="X12" s="4">
        <f t="shared" ref="X12:X16" si="2">+P12-T12</f>
        <v>-1446326.9000000001</v>
      </c>
      <c r="Y12" s="4"/>
      <c r="Z12" s="12">
        <f t="shared" ref="Z12:Z16" si="3">IF(T12=0,0,X12/T12)</f>
        <v>-0.52546528226112632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--181793.09</f>
        <v>181793.09</v>
      </c>
      <c r="E13" s="2"/>
      <c r="F13" s="19"/>
      <c r="G13" s="2"/>
      <c r="H13" s="2">
        <v>469104</v>
      </c>
      <c r="I13" s="2"/>
      <c r="J13" s="19"/>
      <c r="K13" s="2"/>
      <c r="L13" s="2">
        <f t="shared" si="0"/>
        <v>-287310.91000000003</v>
      </c>
      <c r="M13" s="2"/>
      <c r="N13" s="19">
        <f t="shared" si="1"/>
        <v>-0.61246740594836124</v>
      </c>
      <c r="O13" s="11"/>
      <c r="P13" s="2">
        <f>--955016.15</f>
        <v>955016.15</v>
      </c>
      <c r="Q13" s="2"/>
      <c r="R13" s="19"/>
      <c r="S13" s="2"/>
      <c r="T13" s="2">
        <v>2752469</v>
      </c>
      <c r="U13" s="2"/>
      <c r="V13" s="19"/>
      <c r="W13" s="2"/>
      <c r="X13" s="2">
        <f t="shared" si="2"/>
        <v>-1797452.85</v>
      </c>
      <c r="Y13" s="2"/>
      <c r="Z13" s="19">
        <f t="shared" si="3"/>
        <v>-0.65303291335887892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--66434.39</f>
        <v>66434.39</v>
      </c>
      <c r="E14" s="2"/>
      <c r="F14" s="19"/>
      <c r="G14" s="2"/>
      <c r="H14" s="2">
        <v>0</v>
      </c>
      <c r="I14" s="2"/>
      <c r="J14" s="19"/>
      <c r="K14" s="2"/>
      <c r="L14" s="2">
        <f t="shared" si="0"/>
        <v>66434.39</v>
      </c>
      <c r="M14" s="2"/>
      <c r="N14" s="19">
        <f t="shared" si="1"/>
        <v>0</v>
      </c>
      <c r="O14" s="11"/>
      <c r="P14" s="2">
        <f>--394578.29</f>
        <v>394578.29</v>
      </c>
      <c r="Q14" s="2"/>
      <c r="R14" s="19"/>
      <c r="S14" s="2"/>
      <c r="T14" s="2">
        <v>0</v>
      </c>
      <c r="U14" s="2"/>
      <c r="V14" s="19"/>
      <c r="W14" s="2"/>
      <c r="X14" s="2">
        <f t="shared" si="2"/>
        <v>394578.29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"4200", " - ", "TAXABLE RETURNS")</f>
        <v xml:space="preserve">          4200 - TAXABLE RETURNS</v>
      </c>
      <c r="C15" s="11"/>
      <c r="D15" s="2">
        <f>-11496.04</f>
        <v>-11496.04</v>
      </c>
      <c r="E15" s="2"/>
      <c r="F15" s="19"/>
      <c r="G15" s="2"/>
      <c r="H15" s="2"/>
      <c r="I15" s="2"/>
      <c r="J15" s="19"/>
      <c r="K15" s="2"/>
      <c r="L15" s="2">
        <f t="shared" si="0"/>
        <v>-11496.04</v>
      </c>
      <c r="M15" s="2"/>
      <c r="N15" s="19">
        <f t="shared" si="1"/>
        <v>0</v>
      </c>
      <c r="O15" s="11"/>
      <c r="P15" s="2">
        <f>-23905.08</f>
        <v>-23905.08</v>
      </c>
      <c r="Q15" s="2"/>
      <c r="R15" s="19"/>
      <c r="S15" s="2"/>
      <c r="T15" s="2"/>
      <c r="U15" s="2"/>
      <c r="V15" s="19"/>
      <c r="W15" s="2"/>
      <c r="X15" s="2">
        <f t="shared" si="2"/>
        <v>-23905.08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"4300", " - ", "NON-TAX RETURNS")</f>
        <v xml:space="preserve">          4300 - NON-TAX RETURNS</v>
      </c>
      <c r="C16" s="11"/>
      <c r="D16" s="2">
        <f>-2374.8</f>
        <v>-2374.8000000000002</v>
      </c>
      <c r="E16" s="2"/>
      <c r="F16" s="19"/>
      <c r="G16" s="2"/>
      <c r="H16" s="2"/>
      <c r="I16" s="2"/>
      <c r="J16" s="19"/>
      <c r="K16" s="2"/>
      <c r="L16" s="2">
        <f t="shared" si="0"/>
        <v>-2374.8000000000002</v>
      </c>
      <c r="M16" s="2"/>
      <c r="N16" s="19">
        <f t="shared" si="1"/>
        <v>0</v>
      </c>
      <c r="O16" s="11"/>
      <c r="P16" s="2">
        <f>-19547.26</f>
        <v>-19547.259999999998</v>
      </c>
      <c r="Q16" s="2"/>
      <c r="R16" s="19"/>
      <c r="S16" s="2"/>
      <c r="T16" s="2"/>
      <c r="U16" s="2"/>
      <c r="V16" s="19"/>
      <c r="W16" s="2"/>
      <c r="X16" s="2">
        <f t="shared" si="2"/>
        <v>-19547.259999999998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257</v>
      </c>
      <c r="C18" s="10"/>
      <c r="D18" s="4">
        <f>SUM(OSRRefD16x_0)</f>
        <v>225360.76000000004</v>
      </c>
      <c r="E18" s="4"/>
      <c r="F18" s="12">
        <f t="shared" ref="F18:F28" si="4">IF(D$12=0,0,D18/D$12)</f>
        <v>0.96161457170575604</v>
      </c>
      <c r="G18" s="4"/>
      <c r="H18" s="4">
        <f>SUM(OSRRefH16x_0)</f>
        <v>339163</v>
      </c>
      <c r="I18" s="4"/>
      <c r="J18" s="12">
        <f t="shared" ref="J18:J28" si="5">IF(H$12=0,0,H18/H$12)</f>
        <v>0.72300172243255223</v>
      </c>
      <c r="K18" s="4"/>
      <c r="L18" s="4">
        <f t="shared" ref="L18:L28" si="6">+D18-H18</f>
        <v>-113802.23999999996</v>
      </c>
      <c r="M18" s="4"/>
      <c r="N18" s="12">
        <f t="shared" ref="N18:N28" si="7">IF(H18=0,0,L18/H18)</f>
        <v>-0.3355384873939668</v>
      </c>
      <c r="O18" s="10"/>
      <c r="P18" s="4">
        <f>SUM(OSRRefP16x_0)</f>
        <v>1072513.99</v>
      </c>
      <c r="Q18" s="4"/>
      <c r="R18" s="12">
        <f t="shared" ref="R18:R28" si="8">IF(P$12=0,0,P18/P$12)</f>
        <v>0.82113116941870268</v>
      </c>
      <c r="S18" s="4"/>
      <c r="T18" s="4">
        <f>SUM(OSRRefT16x_0)</f>
        <v>1990938</v>
      </c>
      <c r="U18" s="4"/>
      <c r="V18" s="12">
        <f t="shared" ref="V18:V28" si="9">IF(T$12=0,0,T18/T$12)</f>
        <v>0.72332803748198438</v>
      </c>
      <c r="W18" s="4"/>
      <c r="X18" s="4">
        <f t="shared" ref="X18:X28" si="10">+P18-T18</f>
        <v>-918424.01</v>
      </c>
      <c r="Y18" s="4"/>
      <c r="Z18" s="12">
        <f t="shared" ref="Z18:Z28" si="11">IF(T18=0,0,X18/T18)</f>
        <v>-0.4613021651101139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580518.88</v>
      </c>
      <c r="E19" s="2"/>
      <c r="F19" s="19">
        <f t="shared" si="4"/>
        <v>2.477074598782437</v>
      </c>
      <c r="G19" s="2"/>
      <c r="H19" s="2">
        <v>339163</v>
      </c>
      <c r="I19" s="2"/>
      <c r="J19" s="19">
        <f t="shared" si="5"/>
        <v>0.72300172243255223</v>
      </c>
      <c r="K19" s="2"/>
      <c r="L19" s="2">
        <f t="shared" si="6"/>
        <v>241355.88</v>
      </c>
      <c r="M19" s="2"/>
      <c r="N19" s="19">
        <f t="shared" si="7"/>
        <v>0.71162208141807926</v>
      </c>
      <c r="O19" s="11"/>
      <c r="P19" s="2">
        <v>1267520.5900000001</v>
      </c>
      <c r="Q19" s="2"/>
      <c r="R19" s="19">
        <f t="shared" si="8"/>
        <v>0.97043085128333295</v>
      </c>
      <c r="S19" s="2"/>
      <c r="T19" s="2">
        <v>1990938</v>
      </c>
      <c r="U19" s="2"/>
      <c r="V19" s="19">
        <f t="shared" si="9"/>
        <v>0.72332803748198438</v>
      </c>
      <c r="W19" s="2"/>
      <c r="X19" s="2">
        <f t="shared" si="10"/>
        <v>-723417.40999999992</v>
      </c>
      <c r="Y19" s="2"/>
      <c r="Z19" s="19">
        <f t="shared" si="11"/>
        <v>-0.36335506680770568</v>
      </c>
    </row>
    <row r="20" spans="1:26" s="24" customFormat="1" hidden="1" outlineLevel="1" x14ac:dyDescent="0.25">
      <c r="A20" s="44"/>
      <c r="B20" s="11" t="str">
        <f>CONCATENATE("          ", "5001", " - ", "PURCHASES @ COST-NEW TEXT")</f>
        <v xml:space="preserve">          5001 - PURCHASES @ COST-NEW TEXT</v>
      </c>
      <c r="C20" s="11"/>
      <c r="D20" s="2">
        <v>0</v>
      </c>
      <c r="E20" s="2"/>
      <c r="F20" s="19">
        <f t="shared" si="4"/>
        <v>0</v>
      </c>
      <c r="G20" s="2"/>
      <c r="H20" s="2"/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>
        <v>0</v>
      </c>
      <c r="Q20" s="2"/>
      <c r="R20" s="19">
        <f t="shared" si="8"/>
        <v>0</v>
      </c>
      <c r="S20" s="2"/>
      <c r="T20" s="2"/>
      <c r="U20" s="2"/>
      <c r="V20" s="19">
        <f t="shared" si="9"/>
        <v>0</v>
      </c>
      <c r="W20" s="2"/>
      <c r="X20" s="2">
        <f t="shared" si="10"/>
        <v>0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"5002", " - ", "PURCHASES @ COST-USED TEXT")</f>
        <v xml:space="preserve">          5002 - PURCHASES @ COST-USED TEXT</v>
      </c>
      <c r="C21" s="11"/>
      <c r="D21" s="2">
        <v>0</v>
      </c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25">
      <c r="A22" s="44"/>
      <c r="B22" s="11" t="str">
        <f>CONCATENATE("          ", "5004", " - ", "PURCHASES @ COST-DIGITAL TEXT")</f>
        <v xml:space="preserve">          5004 - PURCHASES @ COST-DIGITAL TEXT</v>
      </c>
      <c r="C22" s="11"/>
      <c r="D22" s="2">
        <v>0</v>
      </c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"5200", " - ", "PURCHASES OFFSET")</f>
        <v xml:space="preserve">          5200 - PURCHASES OFFSET</v>
      </c>
      <c r="C23" s="11"/>
      <c r="D23" s="2">
        <v>-548708.86</v>
      </c>
      <c r="E23" s="2"/>
      <c r="F23" s="19">
        <f t="shared" si="4"/>
        <v>-2.3413412139720045</v>
      </c>
      <c r="G23" s="2"/>
      <c r="H23" s="2"/>
      <c r="I23" s="2"/>
      <c r="J23" s="19">
        <f t="shared" si="5"/>
        <v>0</v>
      </c>
      <c r="K23" s="2"/>
      <c r="L23" s="2">
        <f t="shared" si="6"/>
        <v>-548708.86</v>
      </c>
      <c r="M23" s="2"/>
      <c r="N23" s="19">
        <f t="shared" si="7"/>
        <v>0</v>
      </c>
      <c r="O23" s="11"/>
      <c r="P23" s="2">
        <v>-1036371.64</v>
      </c>
      <c r="Q23" s="2"/>
      <c r="R23" s="19">
        <f t="shared" si="8"/>
        <v>-0.79346009901985404</v>
      </c>
      <c r="S23" s="2"/>
      <c r="T23" s="2"/>
      <c r="U23" s="2"/>
      <c r="V23" s="19">
        <f t="shared" si="9"/>
        <v>0</v>
      </c>
      <c r="W23" s="2"/>
      <c r="X23" s="2">
        <f t="shared" si="10"/>
        <v>-1036371.64</v>
      </c>
      <c r="Y23" s="2"/>
      <c r="Z23" s="19">
        <f t="shared" si="11"/>
        <v>0</v>
      </c>
    </row>
    <row r="24" spans="1:26" s="24" customFormat="1" hidden="1" outlineLevel="1" x14ac:dyDescent="0.25">
      <c r="A24" s="44"/>
      <c r="B24" s="11" t="str">
        <f>CONCATENATE("          ", "5300", " - ", "COG$ OFFSET")</f>
        <v xml:space="preserve">          5300 - COG$ OFFSET</v>
      </c>
      <c r="C24" s="11"/>
      <c r="D24" s="2">
        <v>179347.67</v>
      </c>
      <c r="E24" s="2"/>
      <c r="F24" s="19">
        <f t="shared" si="4"/>
        <v>0.76527667404687161</v>
      </c>
      <c r="G24" s="2"/>
      <c r="H24" s="2"/>
      <c r="I24" s="2"/>
      <c r="J24" s="19">
        <f t="shared" si="5"/>
        <v>0</v>
      </c>
      <c r="K24" s="2"/>
      <c r="L24" s="2">
        <f t="shared" si="6"/>
        <v>179347.67</v>
      </c>
      <c r="M24" s="2"/>
      <c r="N24" s="19">
        <f t="shared" si="7"/>
        <v>0</v>
      </c>
      <c r="O24" s="11"/>
      <c r="P24" s="2">
        <v>821540.24</v>
      </c>
      <c r="Q24" s="2"/>
      <c r="R24" s="19">
        <f t="shared" si="8"/>
        <v>0.62898228301499515</v>
      </c>
      <c r="S24" s="2"/>
      <c r="T24" s="2"/>
      <c r="U24" s="2"/>
      <c r="V24" s="19">
        <f t="shared" si="9"/>
        <v>0</v>
      </c>
      <c r="W24" s="2"/>
      <c r="X24" s="2">
        <f t="shared" si="10"/>
        <v>821540.24</v>
      </c>
      <c r="Y24" s="2"/>
      <c r="Z24" s="19">
        <f t="shared" si="11"/>
        <v>0</v>
      </c>
    </row>
    <row r="25" spans="1:26" s="24" customFormat="1" hidden="1" outlineLevel="1" x14ac:dyDescent="0.25">
      <c r="A25" s="44"/>
      <c r="B25" s="11" t="str">
        <f>CONCATENATE("          ", "5500", " - ", "FREIGHT-IN")</f>
        <v xml:space="preserve">          5500 - FREIGHT-IN</v>
      </c>
      <c r="C25" s="11"/>
      <c r="D25" s="2">
        <v>14203.07</v>
      </c>
      <c r="E25" s="2"/>
      <c r="F25" s="19">
        <f t="shared" si="4"/>
        <v>6.0604512848451829E-2</v>
      </c>
      <c r="G25" s="2"/>
      <c r="H25" s="2"/>
      <c r="I25" s="2"/>
      <c r="J25" s="19">
        <f t="shared" si="5"/>
        <v>0</v>
      </c>
      <c r="K25" s="2"/>
      <c r="L25" s="2">
        <f t="shared" si="6"/>
        <v>14203.07</v>
      </c>
      <c r="M25" s="2"/>
      <c r="N25" s="19">
        <f t="shared" si="7"/>
        <v>0</v>
      </c>
      <c r="O25" s="11"/>
      <c r="P25" s="2">
        <v>19824.8</v>
      </c>
      <c r="Q25" s="2"/>
      <c r="R25" s="19">
        <f t="shared" si="8"/>
        <v>1.5178134140228694E-2</v>
      </c>
      <c r="S25" s="2"/>
      <c r="T25" s="2"/>
      <c r="U25" s="2"/>
      <c r="V25" s="19">
        <f t="shared" si="9"/>
        <v>0</v>
      </c>
      <c r="W25" s="2"/>
      <c r="X25" s="2">
        <f t="shared" si="10"/>
        <v>19824.8</v>
      </c>
      <c r="Y25" s="2"/>
      <c r="Z25" s="19">
        <f t="shared" si="11"/>
        <v>0</v>
      </c>
    </row>
    <row r="26" spans="1:26" s="24" customFormat="1" hidden="1" outlineLevel="1" x14ac:dyDescent="0.25">
      <c r="A26" s="44"/>
      <c r="B26" s="11" t="str">
        <f>CONCATENATE("          ", "5501", " - ", "FREIGHT-IN-NEW TEXT")</f>
        <v xml:space="preserve">          5501 - FREIGHT-IN-NEW TEXT</v>
      </c>
      <c r="C26" s="11"/>
      <c r="D26" s="2">
        <v>0</v>
      </c>
      <c r="E26" s="2"/>
      <c r="F26" s="19">
        <f t="shared" si="4"/>
        <v>0</v>
      </c>
      <c r="G26" s="2"/>
      <c r="H26" s="2"/>
      <c r="I26" s="2"/>
      <c r="J26" s="19">
        <f t="shared" si="5"/>
        <v>0</v>
      </c>
      <c r="K26" s="2"/>
      <c r="L26" s="2">
        <f t="shared" si="6"/>
        <v>0</v>
      </c>
      <c r="M26" s="2"/>
      <c r="N26" s="19">
        <f t="shared" si="7"/>
        <v>0</v>
      </c>
      <c r="O26" s="11"/>
      <c r="P26" s="2">
        <v>0</v>
      </c>
      <c r="Q26" s="2"/>
      <c r="R26" s="19">
        <f t="shared" si="8"/>
        <v>0</v>
      </c>
      <c r="S26" s="2"/>
      <c r="T26" s="2"/>
      <c r="U26" s="2"/>
      <c r="V26" s="19">
        <f t="shared" si="9"/>
        <v>0</v>
      </c>
      <c r="W26" s="2"/>
      <c r="X26" s="2">
        <f t="shared" si="10"/>
        <v>0</v>
      </c>
      <c r="Y26" s="2"/>
      <c r="Z26" s="19">
        <f t="shared" si="11"/>
        <v>0</v>
      </c>
    </row>
    <row r="27" spans="1:26" s="24" customFormat="1" hidden="1" outlineLevel="1" x14ac:dyDescent="0.25">
      <c r="A27" s="44"/>
      <c r="B27" s="11" t="str">
        <f>CONCATENATE("          ", "5502", " - ", "FREIGHT-IN-USED TEXT")</f>
        <v xml:space="preserve">          5502 - FREIGHT-IN-USED TEXT</v>
      </c>
      <c r="C27" s="11"/>
      <c r="D27" s="2">
        <v>0</v>
      </c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25">
      <c r="A28" s="44"/>
      <c r="B28" s="11" t="str">
        <f>CONCATENATE("          ", "5518", " - ", "FREIGHT-IN-STUDY GUIDES")</f>
        <v xml:space="preserve">          5518 - FREIGHT-IN-STUDY GUIDES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5" t="s">
        <v>108</v>
      </c>
      <c r="C30" s="25"/>
      <c r="D30" s="21">
        <f>D12-D18</f>
        <v>8995.8799999999464</v>
      </c>
      <c r="E30" s="13"/>
      <c r="F30" s="20">
        <f>IF(D$12=0,0,D30/D$12)</f>
        <v>3.8385428294243969E-2</v>
      </c>
      <c r="G30" s="13"/>
      <c r="H30" s="21">
        <f>H12-H18</f>
        <v>129941</v>
      </c>
      <c r="I30" s="13"/>
      <c r="J30" s="20">
        <f>IF(H$12=0,0,H30/H$12)</f>
        <v>0.27699827756744771</v>
      </c>
      <c r="K30" s="16"/>
      <c r="L30" s="21">
        <f>+D30-H30</f>
        <v>-120945.12000000005</v>
      </c>
      <c r="M30" s="16"/>
      <c r="N30" s="20">
        <f>IF(H30=0,0,L30/H30)</f>
        <v>-0.93076950308216844</v>
      </c>
      <c r="O30" s="26"/>
      <c r="P30" s="21">
        <f>P12-P18</f>
        <v>233628.10999999987</v>
      </c>
      <c r="Q30" s="13"/>
      <c r="R30" s="20">
        <f>IF(P$12=0,0,P30/P$12)</f>
        <v>0.17886883058129732</v>
      </c>
      <c r="S30" s="13"/>
      <c r="T30" s="21">
        <f>T12-T18</f>
        <v>761531</v>
      </c>
      <c r="U30" s="13"/>
      <c r="V30" s="20">
        <f>IF(T$12=0,0,T30/T$12)</f>
        <v>0.27667196251801562</v>
      </c>
      <c r="W30" s="16"/>
      <c r="X30" s="21">
        <f>+P30-T30</f>
        <v>-527902.89000000013</v>
      </c>
      <c r="Y30" s="16"/>
      <c r="Z30" s="20">
        <f>IF(T30=0,0,X30/T30)</f>
        <v>-0.69321260723463674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6" t="s">
        <v>295</v>
      </c>
      <c r="C32" s="10"/>
      <c r="D32" s="22">
        <f>SUM(OSRRefD22x_0)</f>
        <v>42592.3</v>
      </c>
      <c r="E32" s="22"/>
      <c r="F32" s="32">
        <f t="shared" ref="F32:F43" si="12">IF(D$12=0,0,D32/D$12)</f>
        <v>0.18174138355968922</v>
      </c>
      <c r="G32" s="22"/>
      <c r="H32" s="22">
        <f>SUM(OSRRefH22x_0)</f>
        <v>51255.626738989718</v>
      </c>
      <c r="I32" s="22"/>
      <c r="J32" s="32">
        <f t="shared" ref="J32:J43" si="13">IF(H$12=0,0,H32/H$12)</f>
        <v>0.10926282176018477</v>
      </c>
      <c r="K32" s="4"/>
      <c r="L32" s="22">
        <f t="shared" ref="L32:L43" si="14">+D32-H32</f>
        <v>-8663.3267389897155</v>
      </c>
      <c r="M32" s="4"/>
      <c r="N32" s="32">
        <f t="shared" ref="N32:N43" si="15">IF(H32=0,0,L32/H32)</f>
        <v>-0.16902196480995513</v>
      </c>
      <c r="O32" s="10"/>
      <c r="P32" s="22">
        <f>SUM(OSRRefP22x_0)</f>
        <v>144893.85000000003</v>
      </c>
      <c r="Q32" s="22"/>
      <c r="R32" s="32">
        <f t="shared" ref="R32:R43" si="16">IF(P$12=0,0,P32/P$12)</f>
        <v>0.11093268488933941</v>
      </c>
      <c r="S32" s="22"/>
      <c r="T32" s="22">
        <f>SUM(OSRRefT22x_0)</f>
        <v>170833.50284671661</v>
      </c>
      <c r="U32" s="22"/>
      <c r="V32" s="32">
        <f t="shared" ref="V32:V43" si="17">IF(T$12=0,0,T32/T$12)</f>
        <v>6.2065550183023538E-2</v>
      </c>
      <c r="W32" s="4"/>
      <c r="X32" s="22">
        <f t="shared" ref="X32:X43" si="18">+P32-T32</f>
        <v>-25939.652846716577</v>
      </c>
      <c r="Y32" s="4"/>
      <c r="Z32" s="32">
        <f t="shared" ref="Z32:Z43" si="19">IF(T32=0,0,X32/T32)</f>
        <v>-0.15184171965373439</v>
      </c>
    </row>
    <row r="33" spans="1:26" s="28" customFormat="1" outlineLevel="1" collapsed="1" x14ac:dyDescent="0.25">
      <c r="A33" s="27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SUM(OSRRefD22_0x_0)</f>
        <v>11720.22</v>
      </c>
      <c r="E33" s="1"/>
      <c r="F33" s="5">
        <f t="shared" si="12"/>
        <v>5.0010189598212365E-2</v>
      </c>
      <c r="G33" s="1"/>
      <c r="H33" s="1">
        <f>SUM(OSRRefH22_0x_0)</f>
        <v>13830.343193735916</v>
      </c>
      <c r="I33" s="1"/>
      <c r="J33" s="5">
        <f t="shared" si="13"/>
        <v>2.948246698756761E-2</v>
      </c>
      <c r="K33" s="1"/>
      <c r="L33" s="1">
        <f t="shared" si="14"/>
        <v>-2110.1231937359171</v>
      </c>
      <c r="M33" s="1"/>
      <c r="N33" s="5">
        <f t="shared" si="15"/>
        <v>-0.15257200520458819</v>
      </c>
      <c r="O33" s="14"/>
      <c r="P33" s="1">
        <f>SUM(OSRRefP22_0x_0)</f>
        <v>36222.46</v>
      </c>
      <c r="Q33" s="1"/>
      <c r="R33" s="5">
        <f t="shared" si="16"/>
        <v>2.7732403694820038E-2</v>
      </c>
      <c r="S33" s="1"/>
      <c r="T33" s="1">
        <f>SUM(OSRRefT22_0x_0)</f>
        <v>44876.081324641724</v>
      </c>
      <c r="U33" s="1"/>
      <c r="V33" s="5">
        <f t="shared" si="17"/>
        <v>1.6303937056018333E-2</v>
      </c>
      <c r="W33" s="1"/>
      <c r="X33" s="1">
        <f t="shared" si="18"/>
        <v>-8653.6213246417246</v>
      </c>
      <c r="Y33" s="1"/>
      <c r="Z33" s="5">
        <f t="shared" si="19"/>
        <v>-0.19283371161665958</v>
      </c>
    </row>
    <row r="34" spans="1:26" s="24" customFormat="1" hidden="1" outlineLevel="2" x14ac:dyDescent="0.25">
      <c r="A34" s="29"/>
      <c r="B34" s="11" t="str">
        <f>CONCATENATE("          ", "6111", " - ", "F.I.C.A.")</f>
        <v xml:space="preserve">          6111 - F.I.C.A.</v>
      </c>
      <c r="C34" s="11"/>
      <c r="D34" s="7">
        <v>1747.21</v>
      </c>
      <c r="E34" s="2"/>
      <c r="F34" s="6">
        <f t="shared" si="12"/>
        <v>7.4553466887048734E-3</v>
      </c>
      <c r="G34" s="2"/>
      <c r="H34" s="7">
        <v>1967.82450197977</v>
      </c>
      <c r="I34" s="2"/>
      <c r="J34" s="6">
        <f t="shared" si="13"/>
        <v>4.1948576477279457E-3</v>
      </c>
      <c r="K34" s="2"/>
      <c r="L34" s="7">
        <f t="shared" si="14"/>
        <v>-220.61450197977001</v>
      </c>
      <c r="M34" s="2"/>
      <c r="N34" s="6">
        <f t="shared" si="15"/>
        <v>-0.1121108624055734</v>
      </c>
      <c r="O34" s="11"/>
      <c r="P34" s="7">
        <v>6411.52</v>
      </c>
      <c r="Q34" s="2"/>
      <c r="R34" s="6">
        <f t="shared" si="16"/>
        <v>4.908746146380245E-3</v>
      </c>
      <c r="S34" s="2"/>
      <c r="T34" s="7">
        <v>7419.7071514342497</v>
      </c>
      <c r="U34" s="2"/>
      <c r="V34" s="6">
        <f t="shared" si="17"/>
        <v>2.6956551196159703E-3</v>
      </c>
      <c r="W34" s="2"/>
      <c r="X34" s="7">
        <f t="shared" si="18"/>
        <v>-1008.1871514342492</v>
      </c>
      <c r="Y34" s="2"/>
      <c r="Z34" s="6">
        <f t="shared" si="19"/>
        <v>-0.13587964199360131</v>
      </c>
    </row>
    <row r="35" spans="1:26" s="24" customFormat="1" hidden="1" outlineLevel="2" x14ac:dyDescent="0.25">
      <c r="A35" s="29"/>
      <c r="B35" s="11" t="str">
        <f>CONCATENATE("          ", "6112", " - ", "COMPENSATION INSURANCE")</f>
        <v xml:space="preserve">          6112 - COMPENSATION INSURANCE</v>
      </c>
      <c r="C35" s="11"/>
      <c r="D35" s="7">
        <v>465.54</v>
      </c>
      <c r="E35" s="2"/>
      <c r="F35" s="6">
        <f t="shared" si="12"/>
        <v>1.9864596113001111E-3</v>
      </c>
      <c r="G35" s="2"/>
      <c r="H35" s="7">
        <v>566.84335548000001</v>
      </c>
      <c r="I35" s="2"/>
      <c r="J35" s="6">
        <f t="shared" si="13"/>
        <v>1.2083532766294894E-3</v>
      </c>
      <c r="K35" s="2"/>
      <c r="L35" s="7">
        <f t="shared" si="14"/>
        <v>-101.30335547999999</v>
      </c>
      <c r="M35" s="2"/>
      <c r="N35" s="6">
        <f t="shared" si="15"/>
        <v>-0.17871490333377346</v>
      </c>
      <c r="O35" s="11"/>
      <c r="P35" s="7">
        <v>1319.1</v>
      </c>
      <c r="Q35" s="2"/>
      <c r="R35" s="6">
        <f t="shared" si="16"/>
        <v>1.0099207429268226E-3</v>
      </c>
      <c r="S35" s="2"/>
      <c r="T35" s="7">
        <v>1903.7868053100001</v>
      </c>
      <c r="U35" s="2"/>
      <c r="V35" s="6">
        <f t="shared" si="17"/>
        <v>6.9166512150000607E-4</v>
      </c>
      <c r="W35" s="2"/>
      <c r="X35" s="7">
        <f t="shared" si="18"/>
        <v>-584.68680531000018</v>
      </c>
      <c r="Y35" s="2"/>
      <c r="Z35" s="6">
        <f t="shared" si="19"/>
        <v>-0.30711779474424589</v>
      </c>
    </row>
    <row r="36" spans="1:26" s="24" customFormat="1" hidden="1" outlineLevel="2" x14ac:dyDescent="0.25">
      <c r="A36" s="29"/>
      <c r="B36" s="11" t="str">
        <f>CONCATENATE("          ", "6113", " - ", "GROUP INSURANCE")</f>
        <v xml:space="preserve">          6113 - GROUP INSURANCE</v>
      </c>
      <c r="C36" s="11"/>
      <c r="D36" s="7">
        <v>4650.1099999999997</v>
      </c>
      <c r="E36" s="2"/>
      <c r="F36" s="6">
        <f t="shared" si="12"/>
        <v>1.984202367810018E-2</v>
      </c>
      <c r="G36" s="2"/>
      <c r="H36" s="7">
        <v>5314</v>
      </c>
      <c r="I36" s="2"/>
      <c r="J36" s="6">
        <f t="shared" si="13"/>
        <v>1.1327978444012414E-2</v>
      </c>
      <c r="K36" s="2"/>
      <c r="L36" s="7">
        <f t="shared" si="14"/>
        <v>-663.89000000000033</v>
      </c>
      <c r="M36" s="2"/>
      <c r="N36" s="6">
        <f t="shared" si="15"/>
        <v>-0.12493225442228083</v>
      </c>
      <c r="O36" s="11"/>
      <c r="P36" s="7">
        <v>13837.83</v>
      </c>
      <c r="Q36" s="2"/>
      <c r="R36" s="6">
        <f t="shared" si="16"/>
        <v>1.0594429197251969E-2</v>
      </c>
      <c r="S36" s="2"/>
      <c r="T36" s="7">
        <v>16248</v>
      </c>
      <c r="U36" s="2"/>
      <c r="V36" s="6">
        <f t="shared" si="17"/>
        <v>5.9030637583929188E-3</v>
      </c>
      <c r="W36" s="2"/>
      <c r="X36" s="7">
        <f t="shared" si="18"/>
        <v>-2410.17</v>
      </c>
      <c r="Y36" s="2"/>
      <c r="Z36" s="6">
        <f t="shared" si="19"/>
        <v>-0.1483364106351551</v>
      </c>
    </row>
    <row r="37" spans="1:26" s="24" customFormat="1" hidden="1" outlineLevel="2" x14ac:dyDescent="0.25">
      <c r="A37" s="29"/>
      <c r="B37" s="11" t="str">
        <f>CONCATENATE("          ", "6114", " - ", "STATE UNEMPLOYMENT INSURANCE")</f>
        <v xml:space="preserve">          6114 - STATE UNEMPLOYMENT INSURANCE</v>
      </c>
      <c r="C37" s="11"/>
      <c r="D37" s="7">
        <v>92.82</v>
      </c>
      <c r="E37" s="2"/>
      <c r="F37" s="6">
        <f t="shared" si="12"/>
        <v>3.9606302599320422E-4</v>
      </c>
      <c r="G37" s="2"/>
      <c r="H37" s="7">
        <v>76.305836314615405</v>
      </c>
      <c r="I37" s="2"/>
      <c r="J37" s="6">
        <f t="shared" si="13"/>
        <v>1.62662941084739E-4</v>
      </c>
      <c r="K37" s="2"/>
      <c r="L37" s="7">
        <f t="shared" si="14"/>
        <v>16.514163685384588</v>
      </c>
      <c r="M37" s="2"/>
      <c r="N37" s="6">
        <f t="shared" si="15"/>
        <v>0.21642071541284597</v>
      </c>
      <c r="O37" s="11"/>
      <c r="P37" s="7">
        <v>261.45</v>
      </c>
      <c r="Q37" s="2"/>
      <c r="R37" s="6">
        <f t="shared" si="16"/>
        <v>2.0016964463514346E-4</v>
      </c>
      <c r="S37" s="2"/>
      <c r="T37" s="7">
        <v>256.2789930225</v>
      </c>
      <c r="U37" s="2"/>
      <c r="V37" s="6">
        <f t="shared" si="17"/>
        <v>9.3108766355770039E-5</v>
      </c>
      <c r="W37" s="2"/>
      <c r="X37" s="7">
        <f t="shared" si="18"/>
        <v>5.1710069774999852</v>
      </c>
      <c r="Y37" s="2"/>
      <c r="Z37" s="6">
        <f t="shared" si="19"/>
        <v>2.0177256498920288E-2</v>
      </c>
    </row>
    <row r="38" spans="1:26" s="24" customFormat="1" hidden="1" outlineLevel="2" x14ac:dyDescent="0.25">
      <c r="A38" s="29"/>
      <c r="B38" s="11" t="str">
        <f>CONCATENATE("          ", "6115", " - ", "P.E.R.S.")</f>
        <v xml:space="preserve">          6115 - P.E.R.S.</v>
      </c>
      <c r="C38" s="11"/>
      <c r="D38" s="7">
        <v>1607.1</v>
      </c>
      <c r="E38" s="2"/>
      <c r="F38" s="6">
        <f t="shared" si="12"/>
        <v>6.8574971888997896E-3</v>
      </c>
      <c r="G38" s="2"/>
      <c r="H38" s="7">
        <v>1664.68278164615</v>
      </c>
      <c r="I38" s="2"/>
      <c r="J38" s="6">
        <f t="shared" si="13"/>
        <v>3.5486433320674094E-3</v>
      </c>
      <c r="K38" s="2"/>
      <c r="L38" s="7">
        <f t="shared" si="14"/>
        <v>-57.582781646150124</v>
      </c>
      <c r="M38" s="2"/>
      <c r="N38" s="6">
        <f t="shared" si="15"/>
        <v>-3.4590843541499487E-2</v>
      </c>
      <c r="O38" s="11"/>
      <c r="P38" s="7">
        <v>4821.3</v>
      </c>
      <c r="Q38" s="2"/>
      <c r="R38" s="6">
        <f t="shared" si="16"/>
        <v>3.6912522764559847E-3</v>
      </c>
      <c r="S38" s="2"/>
      <c r="T38" s="7">
        <v>5410.2190403499899</v>
      </c>
      <c r="U38" s="2"/>
      <c r="V38" s="6">
        <f t="shared" si="17"/>
        <v>1.965587637989743E-3</v>
      </c>
      <c r="W38" s="2"/>
      <c r="X38" s="7">
        <f t="shared" si="18"/>
        <v>-588.9190403499897</v>
      </c>
      <c r="Y38" s="2"/>
      <c r="Z38" s="6">
        <f t="shared" si="19"/>
        <v>-0.10885308634599981</v>
      </c>
    </row>
    <row r="39" spans="1:26" s="24" customFormat="1" hidden="1" outlineLevel="2" x14ac:dyDescent="0.25">
      <c r="A39" s="29"/>
      <c r="B39" s="11" t="str">
        <f>CONCATENATE("          ", "6116", " - ", "EDUCATIONAL BENEFITS")</f>
        <v xml:space="preserve">          6116 - EDUCATIONAL BENEFITS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9"/>
      <c r="B40" s="11" t="str">
        <f>CONCATENATE("          ", "6117", " - ", "RETIREMENT STAFF HOURLY")</f>
        <v xml:space="preserve">          6117 - RETIREMENT STAFF HOURLY</v>
      </c>
      <c r="C40" s="11"/>
      <c r="D40" s="7">
        <v>190.96</v>
      </c>
      <c r="E40" s="2"/>
      <c r="F40" s="6">
        <f t="shared" si="12"/>
        <v>8.148264969151291E-4</v>
      </c>
      <c r="G40" s="2"/>
      <c r="H40" s="7"/>
      <c r="I40" s="2"/>
      <c r="J40" s="6">
        <f t="shared" si="13"/>
        <v>0</v>
      </c>
      <c r="K40" s="2"/>
      <c r="L40" s="7">
        <f t="shared" si="14"/>
        <v>190.96</v>
      </c>
      <c r="M40" s="2"/>
      <c r="N40" s="6">
        <f t="shared" si="15"/>
        <v>0</v>
      </c>
      <c r="O40" s="11"/>
      <c r="P40" s="7">
        <v>976.89</v>
      </c>
      <c r="Q40" s="2"/>
      <c r="R40" s="6">
        <f t="shared" si="16"/>
        <v>7.4792015355756478E-4</v>
      </c>
      <c r="S40" s="2"/>
      <c r="T40" s="7"/>
      <c r="U40" s="2"/>
      <c r="V40" s="6">
        <f t="shared" si="17"/>
        <v>0</v>
      </c>
      <c r="W40" s="2"/>
      <c r="X40" s="7">
        <f t="shared" si="18"/>
        <v>976.89</v>
      </c>
      <c r="Y40" s="2"/>
      <c r="Z40" s="6">
        <f t="shared" si="19"/>
        <v>0</v>
      </c>
    </row>
    <row r="41" spans="1:26" s="24" customFormat="1" hidden="1" outlineLevel="2" x14ac:dyDescent="0.25">
      <c r="A41" s="29"/>
      <c r="B41" s="11" t="str">
        <f>CONCATENATE("          ", "6118", " - ", "VACATION")</f>
        <v xml:space="preserve">          6118 - VACATION</v>
      </c>
      <c r="C41" s="11"/>
      <c r="D41" s="7">
        <v>1143.8800000000001</v>
      </c>
      <c r="E41" s="2"/>
      <c r="F41" s="6">
        <f t="shared" si="12"/>
        <v>4.8809370197490463E-3</v>
      </c>
      <c r="G41" s="2"/>
      <c r="H41" s="7">
        <v>1689.1935418999999</v>
      </c>
      <c r="I41" s="2"/>
      <c r="J41" s="6">
        <f t="shared" si="13"/>
        <v>3.6008934946195298E-3</v>
      </c>
      <c r="K41" s="2"/>
      <c r="L41" s="7">
        <f t="shared" si="14"/>
        <v>-545.31354189999979</v>
      </c>
      <c r="M41" s="2"/>
      <c r="N41" s="6">
        <f t="shared" si="15"/>
        <v>-0.32282478494834449</v>
      </c>
      <c r="O41" s="11"/>
      <c r="P41" s="7">
        <v>3808.77</v>
      </c>
      <c r="Q41" s="2"/>
      <c r="R41" s="6">
        <f t="shared" si="16"/>
        <v>2.9160456584318051E-3</v>
      </c>
      <c r="S41" s="2"/>
      <c r="T41" s="7">
        <v>5489.8790111750004</v>
      </c>
      <c r="U41" s="2"/>
      <c r="V41" s="6">
        <f t="shared" si="17"/>
        <v>1.9945289161022342E-3</v>
      </c>
      <c r="W41" s="2"/>
      <c r="X41" s="7">
        <f t="shared" si="18"/>
        <v>-1681.1090111750004</v>
      </c>
      <c r="Y41" s="2"/>
      <c r="Z41" s="6">
        <f t="shared" si="19"/>
        <v>-0.30621968312106612</v>
      </c>
    </row>
    <row r="42" spans="1:26" s="24" customFormat="1" hidden="1" outlineLevel="2" x14ac:dyDescent="0.25">
      <c r="A42" s="29"/>
      <c r="B42" s="11" t="str">
        <f>CONCATENATE("          ", "6119", " - ", "SICK LEAVE")</f>
        <v xml:space="preserve">          6119 - SICK LEAVE</v>
      </c>
      <c r="C42" s="11"/>
      <c r="D42" s="7">
        <v>1071.9000000000001</v>
      </c>
      <c r="E42" s="2"/>
      <c r="F42" s="6">
        <f t="shared" si="12"/>
        <v>4.5737982930630864E-3</v>
      </c>
      <c r="G42" s="2"/>
      <c r="H42" s="7">
        <v>1501.49317641538</v>
      </c>
      <c r="I42" s="2"/>
      <c r="J42" s="6">
        <f t="shared" si="13"/>
        <v>3.2007682228575754E-3</v>
      </c>
      <c r="K42" s="2"/>
      <c r="L42" s="7">
        <f t="shared" si="14"/>
        <v>-429.59317641537996</v>
      </c>
      <c r="M42" s="2"/>
      <c r="N42" s="6">
        <f t="shared" si="15"/>
        <v>-0.28611064183520157</v>
      </c>
      <c r="O42" s="11"/>
      <c r="P42" s="7">
        <v>3215.7</v>
      </c>
      <c r="Q42" s="2"/>
      <c r="R42" s="6">
        <f t="shared" si="16"/>
        <v>2.4619832711923152E-3</v>
      </c>
      <c r="S42" s="2"/>
      <c r="T42" s="7">
        <v>4998.2103233499902</v>
      </c>
      <c r="U42" s="2"/>
      <c r="V42" s="6">
        <f t="shared" si="17"/>
        <v>1.8159006780276146E-3</v>
      </c>
      <c r="W42" s="2"/>
      <c r="X42" s="7">
        <f t="shared" si="18"/>
        <v>-1782.5103233499904</v>
      </c>
      <c r="Y42" s="2"/>
      <c r="Z42" s="6">
        <f t="shared" si="19"/>
        <v>-0.35662971504474111</v>
      </c>
    </row>
    <row r="43" spans="1:26" s="24" customFormat="1" hidden="1" outlineLevel="2" x14ac:dyDescent="0.25">
      <c r="A43" s="29"/>
      <c r="B43" s="11" t="str">
        <f>CONCATENATE("          ", "6156", " - ", "EMPLOYEE MEALS")</f>
        <v xml:space="preserve">          6156 - EMPLOYEE MEALS</v>
      </c>
      <c r="C43" s="11"/>
      <c r="D43" s="7">
        <v>750.7</v>
      </c>
      <c r="E43" s="2"/>
      <c r="F43" s="6">
        <f t="shared" si="12"/>
        <v>3.2032375954869469E-3</v>
      </c>
      <c r="G43" s="2"/>
      <c r="H43" s="7">
        <v>1050</v>
      </c>
      <c r="I43" s="2"/>
      <c r="J43" s="6">
        <f t="shared" si="13"/>
        <v>2.2383096285685049E-3</v>
      </c>
      <c r="K43" s="2"/>
      <c r="L43" s="7">
        <f t="shared" si="14"/>
        <v>-299.29999999999995</v>
      </c>
      <c r="M43" s="2"/>
      <c r="N43" s="6">
        <f t="shared" si="15"/>
        <v>-0.28504761904761899</v>
      </c>
      <c r="O43" s="11"/>
      <c r="P43" s="7">
        <v>1569.9</v>
      </c>
      <c r="Q43" s="2"/>
      <c r="R43" s="6">
        <f t="shared" si="16"/>
        <v>1.201936603988188E-3</v>
      </c>
      <c r="S43" s="2"/>
      <c r="T43" s="7">
        <v>3150</v>
      </c>
      <c r="U43" s="2"/>
      <c r="V43" s="6">
        <f t="shared" si="17"/>
        <v>1.1444270580340777E-3</v>
      </c>
      <c r="W43" s="2"/>
      <c r="X43" s="7">
        <f t="shared" si="18"/>
        <v>-1580.1</v>
      </c>
      <c r="Y43" s="2"/>
      <c r="Z43" s="6">
        <f t="shared" si="19"/>
        <v>-0.50161904761904763</v>
      </c>
    </row>
    <row r="44" spans="1:26" s="28" customFormat="1" outlineLevel="1" collapsed="1" x14ac:dyDescent="0.25">
      <c r="A44" s="27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SUM(OSRRefD22_1x_0)</f>
        <v>29190.14</v>
      </c>
      <c r="E44" s="1"/>
      <c r="F44" s="5">
        <f t="shared" ref="F44:F54" si="20">IF(D$12=0,0,D44/D$12)</f>
        <v>0.12455435442324143</v>
      </c>
      <c r="G44" s="1"/>
      <c r="H44" s="1">
        <f>SUM(OSRRefH22_1x_0)</f>
        <v>33845.283545253798</v>
      </c>
      <c r="I44" s="1"/>
      <c r="J44" s="5">
        <f t="shared" ref="J44:J54" si="21">IF(H$12=0,0,H44/H$12)</f>
        <v>7.2148784800926444E-2</v>
      </c>
      <c r="K44" s="1"/>
      <c r="L44" s="1">
        <f t="shared" ref="L44:L54" si="22">+D44-H44</f>
        <v>-4655.1435452537989</v>
      </c>
      <c r="M44" s="1"/>
      <c r="N44" s="5">
        <f t="shared" ref="N44:N54" si="23">IF(H44=0,0,L44/H44)</f>
        <v>-0.13754186869285662</v>
      </c>
      <c r="O44" s="14"/>
      <c r="P44" s="1">
        <f>SUM(OSRRefP22_1x_0)</f>
        <v>99371.32</v>
      </c>
      <c r="Q44" s="1"/>
      <c r="R44" s="5">
        <f t="shared" ref="R44:R54" si="24">IF(P$12=0,0,P44/P$12)</f>
        <v>7.60800222272906E-2</v>
      </c>
      <c r="S44" s="1"/>
      <c r="T44" s="1">
        <f>SUM(OSRRefT22_1x_0)</f>
        <v>113942.4215220749</v>
      </c>
      <c r="U44" s="1"/>
      <c r="V44" s="5">
        <f t="shared" ref="V44:V54" si="25">IF(T$12=0,0,T44/T$12)</f>
        <v>4.1396441348503801E-2</v>
      </c>
      <c r="W44" s="1"/>
      <c r="X44" s="1">
        <f t="shared" ref="X44:X54" si="26">+P44-T44</f>
        <v>-14571.101522074896</v>
      </c>
      <c r="Y44" s="1"/>
      <c r="Z44" s="5">
        <f t="shared" ref="Z44:Z54" si="27">IF(T44=0,0,X44/T44)</f>
        <v>-0.12788126956957754</v>
      </c>
    </row>
    <row r="45" spans="1:26" s="24" customFormat="1" hidden="1" outlineLevel="2" x14ac:dyDescent="0.25">
      <c r="A45" s="29"/>
      <c r="B45" s="11" t="str">
        <f>CONCATENATE("          ", "6001", " - ", "ADMINISTRATIVE SALARIES")</f>
        <v xml:space="preserve">          6001 - ADMINISTRATIVE SALARIES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9"/>
      <c r="B46" s="11" t="str">
        <f>CONCATENATE("          ", "6002", " - ", "STAFF SALARIES")</f>
        <v xml:space="preserve">          6002 - STAFF SALARIES</v>
      </c>
      <c r="C46" s="11"/>
      <c r="D46" s="7">
        <v>16350.77</v>
      </c>
      <c r="E46" s="2"/>
      <c r="F46" s="6">
        <f t="shared" si="20"/>
        <v>6.9768750738191165E-2</v>
      </c>
      <c r="G46" s="2"/>
      <c r="H46" s="7">
        <v>17293.700777253802</v>
      </c>
      <c r="I46" s="2"/>
      <c r="J46" s="6">
        <f t="shared" si="21"/>
        <v>3.6865387584104597E-2</v>
      </c>
      <c r="K46" s="2"/>
      <c r="L46" s="7">
        <f t="shared" si="22"/>
        <v>-942.93077725380135</v>
      </c>
      <c r="M46" s="2"/>
      <c r="N46" s="6">
        <f t="shared" si="23"/>
        <v>-5.4524522506716834E-2</v>
      </c>
      <c r="O46" s="11"/>
      <c r="P46" s="7">
        <v>53100.78</v>
      </c>
      <c r="Q46" s="2"/>
      <c r="R46" s="6">
        <f t="shared" si="24"/>
        <v>4.065467302523975E-2</v>
      </c>
      <c r="S46" s="2"/>
      <c r="T46" s="7">
        <v>56204.527526074897</v>
      </c>
      <c r="U46" s="2"/>
      <c r="V46" s="6">
        <f t="shared" si="25"/>
        <v>2.04196768523369E-2</v>
      </c>
      <c r="W46" s="2"/>
      <c r="X46" s="7">
        <f t="shared" si="26"/>
        <v>-3103.7475260748979</v>
      </c>
      <c r="Y46" s="2"/>
      <c r="Z46" s="6">
        <f t="shared" si="27"/>
        <v>-5.5222375539674809E-2</v>
      </c>
    </row>
    <row r="47" spans="1:26" s="24" customFormat="1" hidden="1" outlineLevel="2" x14ac:dyDescent="0.25">
      <c r="A47" s="29"/>
      <c r="B47" s="11" t="str">
        <f>CONCATENATE("          ", "6003", " - ", "STAFF HOURLY-9 MONTH")</f>
        <v xml:space="preserve">          6003 - STAFF HOURLY-9 MONTH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4" customFormat="1" hidden="1" outlineLevel="2" x14ac:dyDescent="0.25">
      <c r="A48" s="29"/>
      <c r="B48" s="11" t="str">
        <f>CONCATENATE("          ", "6004", " - ", "STAFF HOURLY")</f>
        <v xml:space="preserve">          6004 - STAFF HOURLY</v>
      </c>
      <c r="C48" s="11"/>
      <c r="D48" s="7">
        <v>4924.04</v>
      </c>
      <c r="E48" s="2"/>
      <c r="F48" s="6">
        <f t="shared" si="20"/>
        <v>2.101088324188297E-2</v>
      </c>
      <c r="G48" s="2"/>
      <c r="H48" s="7">
        <v>5928.5827680000002</v>
      </c>
      <c r="I48" s="2"/>
      <c r="J48" s="6">
        <f t="shared" si="21"/>
        <v>1.2638098946075925E-2</v>
      </c>
      <c r="K48" s="2"/>
      <c r="L48" s="7">
        <f t="shared" si="22"/>
        <v>-1004.5427680000003</v>
      </c>
      <c r="M48" s="2"/>
      <c r="N48" s="6">
        <f t="shared" si="23"/>
        <v>-0.16944062473448127</v>
      </c>
      <c r="O48" s="11"/>
      <c r="P48" s="7">
        <v>17748.91</v>
      </c>
      <c r="Q48" s="2"/>
      <c r="R48" s="6">
        <f t="shared" si="24"/>
        <v>1.3588804770935721E-2</v>
      </c>
      <c r="S48" s="2"/>
      <c r="T48" s="7">
        <v>19267.893995999999</v>
      </c>
      <c r="U48" s="2"/>
      <c r="V48" s="6">
        <f t="shared" si="25"/>
        <v>7.0002219810650001E-3</v>
      </c>
      <c r="W48" s="2"/>
      <c r="X48" s="7">
        <f t="shared" si="26"/>
        <v>-1518.983995999999</v>
      </c>
      <c r="Y48" s="2"/>
      <c r="Z48" s="6">
        <f t="shared" si="27"/>
        <v>-7.8834977829717101E-2</v>
      </c>
    </row>
    <row r="49" spans="1:26" s="24" customFormat="1" hidden="1" outlineLevel="2" x14ac:dyDescent="0.25">
      <c r="A49" s="29"/>
      <c r="B49" s="11" t="str">
        <f>CONCATENATE("          ", "6005", " - ", "TEMPORARY WAGES-HOURLY")</f>
        <v xml:space="preserve">          6005 - TEMPORARY WAGES-HOURLY</v>
      </c>
      <c r="C49" s="11"/>
      <c r="D49" s="7">
        <v>1055.96</v>
      </c>
      <c r="E49" s="2"/>
      <c r="F49" s="6">
        <f t="shared" si="20"/>
        <v>4.5057822982954533E-3</v>
      </c>
      <c r="G49" s="2"/>
      <c r="H49" s="7">
        <v>3455</v>
      </c>
      <c r="I49" s="2"/>
      <c r="J49" s="6">
        <f t="shared" si="21"/>
        <v>7.3651045397182717E-3</v>
      </c>
      <c r="K49" s="2"/>
      <c r="L49" s="7">
        <f t="shared" si="22"/>
        <v>-2399.04</v>
      </c>
      <c r="M49" s="2"/>
      <c r="N49" s="6">
        <f t="shared" si="23"/>
        <v>-0.69436758321273517</v>
      </c>
      <c r="O49" s="11"/>
      <c r="P49" s="7">
        <v>8137.23</v>
      </c>
      <c r="Q49" s="2"/>
      <c r="R49" s="6">
        <f t="shared" si="24"/>
        <v>6.2299729868595466E-3</v>
      </c>
      <c r="S49" s="2"/>
      <c r="T49" s="7">
        <v>11646</v>
      </c>
      <c r="U49" s="2"/>
      <c r="V49" s="6">
        <f t="shared" si="25"/>
        <v>4.2311103231317043E-3</v>
      </c>
      <c r="W49" s="2"/>
      <c r="X49" s="7">
        <f t="shared" si="26"/>
        <v>-3508.7700000000004</v>
      </c>
      <c r="Y49" s="2"/>
      <c r="Z49" s="6">
        <f t="shared" si="27"/>
        <v>-0.30128541988665641</v>
      </c>
    </row>
    <row r="50" spans="1:26" s="24" customFormat="1" hidden="1" outlineLevel="2" x14ac:dyDescent="0.25">
      <c r="A50" s="29"/>
      <c r="B50" s="11" t="str">
        <f>CONCATENATE("          ", "6006", " - ", "TEMPORARY PART TIME")</f>
        <v xml:space="preserve">          6006 - TEMPORARY PART TIME</v>
      </c>
      <c r="C50" s="11"/>
      <c r="D50" s="7"/>
      <c r="E50" s="2"/>
      <c r="F50" s="6">
        <f t="shared" si="20"/>
        <v>0</v>
      </c>
      <c r="G50" s="2"/>
      <c r="H50" s="7">
        <v>0</v>
      </c>
      <c r="I50" s="2"/>
      <c r="J50" s="6">
        <f t="shared" si="21"/>
        <v>0</v>
      </c>
      <c r="K50" s="2"/>
      <c r="L50" s="7">
        <f t="shared" si="22"/>
        <v>0</v>
      </c>
      <c r="M50" s="2"/>
      <c r="N50" s="6">
        <f t="shared" si="23"/>
        <v>0</v>
      </c>
      <c r="O50" s="11"/>
      <c r="P50" s="7"/>
      <c r="Q50" s="2"/>
      <c r="R50" s="6">
        <f t="shared" si="24"/>
        <v>0</v>
      </c>
      <c r="S50" s="2"/>
      <c r="T50" s="7">
        <v>0</v>
      </c>
      <c r="U50" s="2"/>
      <c r="V50" s="6">
        <f t="shared" si="25"/>
        <v>0</v>
      </c>
      <c r="W50" s="2"/>
      <c r="X50" s="7">
        <f t="shared" si="26"/>
        <v>0</v>
      </c>
      <c r="Y50" s="2"/>
      <c r="Z50" s="6">
        <f t="shared" si="27"/>
        <v>0</v>
      </c>
    </row>
    <row r="51" spans="1:26" s="24" customFormat="1" hidden="1" outlineLevel="2" x14ac:dyDescent="0.25">
      <c r="A51" s="29"/>
      <c r="B51" s="11" t="str">
        <f>CONCATENATE("          ", "6007", " - ", "STUDENT HOURLY")</f>
        <v xml:space="preserve">          6007 - STUDENT HOURLY</v>
      </c>
      <c r="C51" s="11"/>
      <c r="D51" s="7">
        <v>4598.51</v>
      </c>
      <c r="E51" s="2"/>
      <c r="F51" s="6">
        <f t="shared" si="20"/>
        <v>1.9621846430295298E-2</v>
      </c>
      <c r="G51" s="2"/>
      <c r="H51" s="7">
        <v>0</v>
      </c>
      <c r="I51" s="2"/>
      <c r="J51" s="6">
        <f t="shared" si="21"/>
        <v>0</v>
      </c>
      <c r="K51" s="2"/>
      <c r="L51" s="7">
        <f t="shared" si="22"/>
        <v>4598.51</v>
      </c>
      <c r="M51" s="2"/>
      <c r="N51" s="6">
        <f t="shared" si="23"/>
        <v>0</v>
      </c>
      <c r="O51" s="11"/>
      <c r="P51" s="7">
        <v>16584.52</v>
      </c>
      <c r="Q51" s="2"/>
      <c r="R51" s="6">
        <f t="shared" si="24"/>
        <v>1.2697332089670796E-2</v>
      </c>
      <c r="S51" s="2"/>
      <c r="T51" s="7">
        <v>13384</v>
      </c>
      <c r="U51" s="2"/>
      <c r="V51" s="6">
        <f t="shared" si="25"/>
        <v>4.8625434110247927E-3</v>
      </c>
      <c r="W51" s="2"/>
      <c r="X51" s="7">
        <f t="shared" si="26"/>
        <v>3200.5200000000004</v>
      </c>
      <c r="Y51" s="2"/>
      <c r="Z51" s="6">
        <f t="shared" si="27"/>
        <v>0.23913030484160194</v>
      </c>
    </row>
    <row r="52" spans="1:26" s="24" customFormat="1" hidden="1" outlineLevel="2" x14ac:dyDescent="0.25">
      <c r="A52" s="29"/>
      <c r="B52" s="11" t="str">
        <f>CONCATENATE("          ", "6008", " - ", "STUDENT HOURLY-FICA EXEMPT")</f>
        <v xml:space="preserve">          6008 - STUDENT HOURLY-FICA EXEMPT</v>
      </c>
      <c r="C52" s="11"/>
      <c r="D52" s="7">
        <v>2260.86</v>
      </c>
      <c r="E52" s="2"/>
      <c r="F52" s="6">
        <f t="shared" si="20"/>
        <v>9.6470917145765542E-3</v>
      </c>
      <c r="G52" s="2"/>
      <c r="H52" s="7">
        <v>7168</v>
      </c>
      <c r="I52" s="2"/>
      <c r="J52" s="6">
        <f t="shared" si="21"/>
        <v>1.5280193731027661E-2</v>
      </c>
      <c r="K52" s="2"/>
      <c r="L52" s="7">
        <f t="shared" si="22"/>
        <v>-4907.1399999999994</v>
      </c>
      <c r="M52" s="2"/>
      <c r="N52" s="6">
        <f t="shared" si="23"/>
        <v>-0.68458984374999987</v>
      </c>
      <c r="O52" s="11"/>
      <c r="P52" s="7">
        <v>3799.88</v>
      </c>
      <c r="Q52" s="2"/>
      <c r="R52" s="6">
        <f t="shared" si="24"/>
        <v>2.9092393545847735E-3</v>
      </c>
      <c r="S52" s="2"/>
      <c r="T52" s="7">
        <v>13440</v>
      </c>
      <c r="U52" s="2"/>
      <c r="V52" s="6">
        <f t="shared" si="25"/>
        <v>4.8828887809453988E-3</v>
      </c>
      <c r="W52" s="2"/>
      <c r="X52" s="7">
        <f t="shared" si="26"/>
        <v>-9640.119999999999</v>
      </c>
      <c r="Y52" s="2"/>
      <c r="Z52" s="6">
        <f t="shared" si="27"/>
        <v>-0.7172708333333333</v>
      </c>
    </row>
    <row r="53" spans="1:26" s="24" customFormat="1" hidden="1" outlineLevel="2" x14ac:dyDescent="0.25">
      <c r="A53" s="29"/>
      <c r="B53" s="11" t="str">
        <f>CONCATENATE("          ", "6009", " - ", "TEMPORARY-SEASONAL")</f>
        <v xml:space="preserve">          6009 - TEMPORARY-SEASONAL</v>
      </c>
      <c r="C53" s="11"/>
      <c r="D53" s="7"/>
      <c r="E53" s="2"/>
      <c r="F53" s="6">
        <f t="shared" si="20"/>
        <v>0</v>
      </c>
      <c r="G53" s="2"/>
      <c r="H53" s="7">
        <v>0</v>
      </c>
      <c r="I53" s="2"/>
      <c r="J53" s="6">
        <f t="shared" si="21"/>
        <v>0</v>
      </c>
      <c r="K53" s="2"/>
      <c r="L53" s="7">
        <f t="shared" si="22"/>
        <v>0</v>
      </c>
      <c r="M53" s="2"/>
      <c r="N53" s="6">
        <f t="shared" si="23"/>
        <v>0</v>
      </c>
      <c r="O53" s="11"/>
      <c r="P53" s="7"/>
      <c r="Q53" s="2"/>
      <c r="R53" s="6">
        <f t="shared" si="24"/>
        <v>0</v>
      </c>
      <c r="S53" s="2"/>
      <c r="T53" s="7">
        <v>0</v>
      </c>
      <c r="U53" s="2"/>
      <c r="V53" s="6">
        <f t="shared" si="25"/>
        <v>0</v>
      </c>
      <c r="W53" s="2"/>
      <c r="X53" s="7">
        <f t="shared" si="26"/>
        <v>0</v>
      </c>
      <c r="Y53" s="2"/>
      <c r="Z53" s="6">
        <f t="shared" si="27"/>
        <v>0</v>
      </c>
    </row>
    <row r="54" spans="1:26" s="24" customFormat="1" hidden="1" outlineLevel="2" x14ac:dyDescent="0.25">
      <c r="A54" s="29"/>
      <c r="B54" s="11" t="str">
        <f>CONCATENATE("          ", "6010", " - ", "GRATUITY")</f>
        <v xml:space="preserve">          6010 - GRATUITY</v>
      </c>
      <c r="C54" s="11"/>
      <c r="D54" s="7"/>
      <c r="E54" s="2"/>
      <c r="F54" s="6">
        <f t="shared" si="20"/>
        <v>0</v>
      </c>
      <c r="G54" s="2"/>
      <c r="H54" s="7">
        <v>0</v>
      </c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0</v>
      </c>
      <c r="U54" s="2"/>
      <c r="V54" s="6">
        <f t="shared" si="25"/>
        <v>0</v>
      </c>
      <c r="W54" s="2"/>
      <c r="X54" s="7">
        <f t="shared" si="26"/>
        <v>0</v>
      </c>
      <c r="Y54" s="2"/>
      <c r="Z54" s="6">
        <f t="shared" si="27"/>
        <v>0</v>
      </c>
    </row>
    <row r="55" spans="1:26" s="28" customFormat="1" outlineLevel="1" collapsed="1" x14ac:dyDescent="0.25">
      <c r="A55" s="27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SUM(OSRRefD22_2x_0)</f>
        <v>35.28</v>
      </c>
      <c r="E55" s="1"/>
      <c r="F55" s="5">
        <f t="shared" ref="F55:F70" si="28">IF(D$12=0,0,D55/D$12)</f>
        <v>1.505397926851998E-4</v>
      </c>
      <c r="G55" s="1"/>
      <c r="H55" s="1">
        <f>SUM(OSRRefH22_2x_0)</f>
        <v>100</v>
      </c>
      <c r="I55" s="1"/>
      <c r="J55" s="5">
        <f t="shared" ref="J55:J70" si="29">IF(H$12=0,0,H55/H$12)</f>
        <v>2.1317234557795286E-4</v>
      </c>
      <c r="K55" s="1"/>
      <c r="L55" s="1">
        <f t="shared" ref="L55:L70" si="30">+D55-H55</f>
        <v>-64.72</v>
      </c>
      <c r="M55" s="1"/>
      <c r="N55" s="5">
        <f t="shared" ref="N55:N70" si="31">IF(H55=0,0,L55/H55)</f>
        <v>-0.6472</v>
      </c>
      <c r="O55" s="14"/>
      <c r="P55" s="1">
        <f>SUM(OSRRefP22_2x_0)</f>
        <v>119.42</v>
      </c>
      <c r="Q55" s="1"/>
      <c r="R55" s="5">
        <f t="shared" ref="R55:R70" si="32">IF(P$12=0,0,P55/P$12)</f>
        <v>9.1429561913669276E-5</v>
      </c>
      <c r="S55" s="1"/>
      <c r="T55" s="1">
        <f>SUM(OSRRefT22_2x_0)</f>
        <v>1900</v>
      </c>
      <c r="U55" s="1"/>
      <c r="V55" s="5">
        <f t="shared" ref="V55:V70" si="33">IF(T$12=0,0,T55/T$12)</f>
        <v>6.9028933659198342E-4</v>
      </c>
      <c r="W55" s="1"/>
      <c r="X55" s="1">
        <f t="shared" ref="X55:X70" si="34">+P55-T55</f>
        <v>-1780.58</v>
      </c>
      <c r="Y55" s="1"/>
      <c r="Z55" s="5">
        <f t="shared" ref="Z55:Z70" si="35">IF(T55=0,0,X55/T55)</f>
        <v>-0.93714736842105262</v>
      </c>
    </row>
    <row r="56" spans="1:26" s="24" customFormat="1" hidden="1" outlineLevel="2" x14ac:dyDescent="0.25">
      <c r="A56" s="29"/>
      <c r="B56" s="11" t="str">
        <f>CONCATENATE("          ", "6362", " - ", "ADVERTISING EXPENSE")</f>
        <v xml:space="preserve">          6362 - ADVERTISING EXPENSE</v>
      </c>
      <c r="C56" s="11"/>
      <c r="D56" s="7">
        <v>35.28</v>
      </c>
      <c r="E56" s="2"/>
      <c r="F56" s="6">
        <f t="shared" si="28"/>
        <v>1.505397926851998E-4</v>
      </c>
      <c r="G56" s="2"/>
      <c r="H56" s="7">
        <v>100</v>
      </c>
      <c r="I56" s="2"/>
      <c r="J56" s="6">
        <f t="shared" si="29"/>
        <v>2.1317234557795286E-4</v>
      </c>
      <c r="K56" s="2"/>
      <c r="L56" s="7">
        <f t="shared" si="30"/>
        <v>-64.72</v>
      </c>
      <c r="M56" s="2"/>
      <c r="N56" s="6">
        <f t="shared" si="31"/>
        <v>-0.6472</v>
      </c>
      <c r="O56" s="11"/>
      <c r="P56" s="7">
        <v>119.42</v>
      </c>
      <c r="Q56" s="2"/>
      <c r="R56" s="6">
        <f t="shared" si="32"/>
        <v>9.1429561913669276E-5</v>
      </c>
      <c r="S56" s="2"/>
      <c r="T56" s="7">
        <v>1900</v>
      </c>
      <c r="U56" s="2"/>
      <c r="V56" s="6">
        <f t="shared" si="33"/>
        <v>6.9028933659198342E-4</v>
      </c>
      <c r="W56" s="2"/>
      <c r="X56" s="7">
        <f t="shared" si="34"/>
        <v>-1780.58</v>
      </c>
      <c r="Y56" s="2"/>
      <c r="Z56" s="6">
        <f t="shared" si="35"/>
        <v>-0.93714736842105262</v>
      </c>
    </row>
    <row r="57" spans="1:26" s="28" customFormat="1" outlineLevel="1" collapsed="1" x14ac:dyDescent="0.25">
      <c r="A57" s="27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SUM(OSRRefD22_3x_0)</f>
        <v>0</v>
      </c>
      <c r="E57" s="1"/>
      <c r="F57" s="5">
        <f t="shared" si="28"/>
        <v>0</v>
      </c>
      <c r="G57" s="1"/>
      <c r="H57" s="1">
        <f>SUM(OSRRefH22_3x_0)</f>
        <v>50</v>
      </c>
      <c r="I57" s="1"/>
      <c r="J57" s="5">
        <f t="shared" si="29"/>
        <v>1.0658617278897643E-4</v>
      </c>
      <c r="K57" s="1"/>
      <c r="L57" s="1">
        <f t="shared" si="30"/>
        <v>-50</v>
      </c>
      <c r="M57" s="1"/>
      <c r="N57" s="5">
        <f t="shared" si="31"/>
        <v>-1</v>
      </c>
      <c r="O57" s="14"/>
      <c r="P57" s="1">
        <f>SUM(OSRRefP22_3x_0)</f>
        <v>0</v>
      </c>
      <c r="Q57" s="1"/>
      <c r="R57" s="5">
        <f t="shared" si="32"/>
        <v>0</v>
      </c>
      <c r="S57" s="1"/>
      <c r="T57" s="1">
        <f>SUM(OSRRefT22_3x_0)</f>
        <v>150</v>
      </c>
      <c r="U57" s="1"/>
      <c r="V57" s="5">
        <f t="shared" si="33"/>
        <v>5.4496526573051325E-5</v>
      </c>
      <c r="W57" s="1"/>
      <c r="X57" s="1">
        <f t="shared" si="34"/>
        <v>-150</v>
      </c>
      <c r="Y57" s="1"/>
      <c r="Z57" s="5">
        <f t="shared" si="35"/>
        <v>-1</v>
      </c>
    </row>
    <row r="58" spans="1:26" s="24" customFormat="1" hidden="1" outlineLevel="2" x14ac:dyDescent="0.25">
      <c r="A58" s="29"/>
      <c r="B58" s="11" t="str">
        <f>CONCATENATE("          ", "6277", " - ", "EMPLOYEE APPRECIATION")</f>
        <v xml:space="preserve">          6277 - EMPLOYEE APPRECIATION</v>
      </c>
      <c r="C58" s="11"/>
      <c r="D58" s="7"/>
      <c r="E58" s="2"/>
      <c r="F58" s="6">
        <f t="shared" si="28"/>
        <v>0</v>
      </c>
      <c r="G58" s="2"/>
      <c r="H58" s="7">
        <v>50</v>
      </c>
      <c r="I58" s="2"/>
      <c r="J58" s="6">
        <f t="shared" si="29"/>
        <v>1.0658617278897643E-4</v>
      </c>
      <c r="K58" s="2"/>
      <c r="L58" s="7">
        <f t="shared" si="30"/>
        <v>-50</v>
      </c>
      <c r="M58" s="2"/>
      <c r="N58" s="6">
        <f t="shared" si="31"/>
        <v>-1</v>
      </c>
      <c r="O58" s="11"/>
      <c r="P58" s="7"/>
      <c r="Q58" s="2"/>
      <c r="R58" s="6">
        <f t="shared" si="32"/>
        <v>0</v>
      </c>
      <c r="S58" s="2"/>
      <c r="T58" s="7">
        <v>150</v>
      </c>
      <c r="U58" s="2"/>
      <c r="V58" s="6">
        <f t="shared" si="33"/>
        <v>5.4496526573051325E-5</v>
      </c>
      <c r="W58" s="2"/>
      <c r="X58" s="7">
        <f t="shared" si="34"/>
        <v>-150</v>
      </c>
      <c r="Y58" s="2"/>
      <c r="Z58" s="6">
        <f t="shared" si="35"/>
        <v>-1</v>
      </c>
    </row>
    <row r="59" spans="1:26" s="28" customFormat="1" outlineLevel="1" collapsed="1" x14ac:dyDescent="0.25">
      <c r="A59" s="27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SUM(OSRRefD22_4x_0)</f>
        <v>91.26</v>
      </c>
      <c r="E59" s="1"/>
      <c r="F59" s="5">
        <f t="shared" si="28"/>
        <v>3.8940650454794034E-4</v>
      </c>
      <c r="G59" s="1"/>
      <c r="H59" s="1">
        <f>SUM(OSRRefH22_4x_0)</f>
        <v>100</v>
      </c>
      <c r="I59" s="1"/>
      <c r="J59" s="5">
        <f t="shared" si="29"/>
        <v>2.1317234557795286E-4</v>
      </c>
      <c r="K59" s="1"/>
      <c r="L59" s="1">
        <f t="shared" si="30"/>
        <v>-8.7399999999999949</v>
      </c>
      <c r="M59" s="1"/>
      <c r="N59" s="5">
        <f t="shared" si="31"/>
        <v>-8.739999999999995E-2</v>
      </c>
      <c r="O59" s="14"/>
      <c r="P59" s="1">
        <f>SUM(OSRRefP22_4x_0)</f>
        <v>273.77999999999997</v>
      </c>
      <c r="Q59" s="1"/>
      <c r="R59" s="5">
        <f t="shared" si="32"/>
        <v>2.0960965885717949E-4</v>
      </c>
      <c r="S59" s="1"/>
      <c r="T59" s="1">
        <f>SUM(OSRRefT22_4x_0)</f>
        <v>300</v>
      </c>
      <c r="U59" s="1"/>
      <c r="V59" s="5">
        <f t="shared" si="33"/>
        <v>1.0899305314610265E-4</v>
      </c>
      <c r="W59" s="1"/>
      <c r="X59" s="1">
        <f t="shared" si="34"/>
        <v>-26.220000000000027</v>
      </c>
      <c r="Y59" s="1"/>
      <c r="Z59" s="5">
        <f t="shared" si="35"/>
        <v>-8.7400000000000089E-2</v>
      </c>
    </row>
    <row r="60" spans="1:26" s="24" customFormat="1" hidden="1" outlineLevel="2" x14ac:dyDescent="0.25">
      <c r="A60" s="29"/>
      <c r="B60" s="11" t="str">
        <f>CONCATENATE("          ", "6351", " - ", "EQUIPMENT RENTAL")</f>
        <v xml:space="preserve">          6351 - EQUIPMENT RENTAL</v>
      </c>
      <c r="C60" s="11"/>
      <c r="D60" s="7">
        <v>91.26</v>
      </c>
      <c r="E60" s="2"/>
      <c r="F60" s="6">
        <f t="shared" si="28"/>
        <v>3.8940650454794034E-4</v>
      </c>
      <c r="G60" s="2"/>
      <c r="H60" s="7">
        <v>100</v>
      </c>
      <c r="I60" s="2"/>
      <c r="J60" s="6">
        <f t="shared" si="29"/>
        <v>2.1317234557795286E-4</v>
      </c>
      <c r="K60" s="2"/>
      <c r="L60" s="7">
        <f t="shared" si="30"/>
        <v>-8.7399999999999949</v>
      </c>
      <c r="M60" s="2"/>
      <c r="N60" s="6">
        <f t="shared" si="31"/>
        <v>-8.739999999999995E-2</v>
      </c>
      <c r="O60" s="11"/>
      <c r="P60" s="7">
        <v>273.77999999999997</v>
      </c>
      <c r="Q60" s="2"/>
      <c r="R60" s="6">
        <f t="shared" si="32"/>
        <v>2.0960965885717949E-4</v>
      </c>
      <c r="S60" s="2"/>
      <c r="T60" s="7">
        <v>300</v>
      </c>
      <c r="U60" s="2"/>
      <c r="V60" s="6">
        <f t="shared" si="33"/>
        <v>1.0899305314610265E-4</v>
      </c>
      <c r="W60" s="2"/>
      <c r="X60" s="7">
        <f t="shared" si="34"/>
        <v>-26.220000000000027</v>
      </c>
      <c r="Y60" s="2"/>
      <c r="Z60" s="6">
        <f t="shared" si="35"/>
        <v>-8.7400000000000089E-2</v>
      </c>
    </row>
    <row r="61" spans="1:26" s="28" customFormat="1" outlineLevel="1" collapsed="1" x14ac:dyDescent="0.25">
      <c r="A61" s="27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SUM(OSRRefD22_5x_0)</f>
        <v>84.57</v>
      </c>
      <c r="E61" s="1"/>
      <c r="F61" s="5">
        <f t="shared" si="28"/>
        <v>3.6086026834998146E-4</v>
      </c>
      <c r="G61" s="1"/>
      <c r="H61" s="1">
        <f>SUM(OSRRefH22_5x_0)</f>
        <v>800</v>
      </c>
      <c r="I61" s="1"/>
      <c r="J61" s="5">
        <f t="shared" si="29"/>
        <v>1.7053787646236229E-3</v>
      </c>
      <c r="K61" s="1"/>
      <c r="L61" s="1">
        <f t="shared" si="30"/>
        <v>-715.43000000000006</v>
      </c>
      <c r="M61" s="1"/>
      <c r="N61" s="5">
        <f t="shared" si="31"/>
        <v>-0.89428750000000012</v>
      </c>
      <c r="O61" s="14"/>
      <c r="P61" s="1">
        <f>SUM(OSRRefP22_5x_0)</f>
        <v>380.54</v>
      </c>
      <c r="Q61" s="1"/>
      <c r="R61" s="5">
        <f t="shared" si="32"/>
        <v>2.913465541000478E-4</v>
      </c>
      <c r="S61" s="1"/>
      <c r="T61" s="1">
        <f>SUM(OSRRefT22_5x_0)</f>
        <v>1600</v>
      </c>
      <c r="U61" s="1"/>
      <c r="V61" s="5">
        <f t="shared" si="33"/>
        <v>5.8129628344588073E-4</v>
      </c>
      <c r="W61" s="1"/>
      <c r="X61" s="1">
        <f t="shared" si="34"/>
        <v>-1219.46</v>
      </c>
      <c r="Y61" s="1"/>
      <c r="Z61" s="5">
        <f t="shared" si="35"/>
        <v>-0.76216250000000008</v>
      </c>
    </row>
    <row r="62" spans="1:26" s="24" customFormat="1" hidden="1" outlineLevel="2" x14ac:dyDescent="0.25">
      <c r="A62" s="29"/>
      <c r="B62" s="11" t="str">
        <f>CONCATENATE("          ", "6305", " - ", "FREIGHT OUT")</f>
        <v xml:space="preserve">          6305 - FREIGHT OUT</v>
      </c>
      <c r="C62" s="11"/>
      <c r="D62" s="7">
        <v>84.57</v>
      </c>
      <c r="E62" s="2"/>
      <c r="F62" s="6">
        <f t="shared" si="28"/>
        <v>3.6086026834998146E-4</v>
      </c>
      <c r="G62" s="2"/>
      <c r="H62" s="7">
        <v>800</v>
      </c>
      <c r="I62" s="2"/>
      <c r="J62" s="6">
        <f t="shared" si="29"/>
        <v>1.7053787646236229E-3</v>
      </c>
      <c r="K62" s="2"/>
      <c r="L62" s="7">
        <f t="shared" si="30"/>
        <v>-715.43000000000006</v>
      </c>
      <c r="M62" s="2"/>
      <c r="N62" s="6">
        <f t="shared" si="31"/>
        <v>-0.89428750000000012</v>
      </c>
      <c r="O62" s="11"/>
      <c r="P62" s="7">
        <v>380.54</v>
      </c>
      <c r="Q62" s="2"/>
      <c r="R62" s="6">
        <f t="shared" si="32"/>
        <v>2.913465541000478E-4</v>
      </c>
      <c r="S62" s="2"/>
      <c r="T62" s="7">
        <v>1600</v>
      </c>
      <c r="U62" s="2"/>
      <c r="V62" s="6">
        <f t="shared" si="33"/>
        <v>5.8129628344588073E-4</v>
      </c>
      <c r="W62" s="2"/>
      <c r="X62" s="7">
        <f t="shared" si="34"/>
        <v>-1219.46</v>
      </c>
      <c r="Y62" s="2"/>
      <c r="Z62" s="6">
        <f t="shared" si="35"/>
        <v>-0.76216250000000008</v>
      </c>
    </row>
    <row r="63" spans="1:26" s="28" customFormat="1" outlineLevel="1" collapsed="1" x14ac:dyDescent="0.25">
      <c r="A63" s="27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SUM(OSRRefD22_6x_0)</f>
        <v>0</v>
      </c>
      <c r="E63" s="1"/>
      <c r="F63" s="5">
        <f t="shared" si="28"/>
        <v>0</v>
      </c>
      <c r="G63" s="1"/>
      <c r="H63" s="1">
        <f>SUM(OSRRefH22_6x_0)</f>
        <v>0</v>
      </c>
      <c r="I63" s="1"/>
      <c r="J63" s="5">
        <f t="shared" si="29"/>
        <v>0</v>
      </c>
      <c r="K63" s="1"/>
      <c r="L63" s="1">
        <f t="shared" si="30"/>
        <v>0</v>
      </c>
      <c r="M63" s="1"/>
      <c r="N63" s="5">
        <f t="shared" si="31"/>
        <v>0</v>
      </c>
      <c r="O63" s="14"/>
      <c r="P63" s="1">
        <f>SUM(OSRRefP22_6x_0)</f>
        <v>0</v>
      </c>
      <c r="Q63" s="1"/>
      <c r="R63" s="5">
        <f t="shared" si="32"/>
        <v>0</v>
      </c>
      <c r="S63" s="1"/>
      <c r="T63" s="1">
        <f>SUM(OSRRefT22_6x_0)</f>
        <v>125</v>
      </c>
      <c r="U63" s="1"/>
      <c r="V63" s="5">
        <f t="shared" si="33"/>
        <v>4.5413772144209438E-5</v>
      </c>
      <c r="W63" s="1"/>
      <c r="X63" s="1">
        <f t="shared" si="34"/>
        <v>-125</v>
      </c>
      <c r="Y63" s="1"/>
      <c r="Z63" s="5">
        <f t="shared" si="35"/>
        <v>-1</v>
      </c>
    </row>
    <row r="64" spans="1:26" s="24" customFormat="1" hidden="1" outlineLevel="2" x14ac:dyDescent="0.25">
      <c r="A64" s="29"/>
      <c r="B64" s="11" t="str">
        <f>CONCATENATE("          ", "6279", " - ", "GENERAL EXPENSE")</f>
        <v xml:space="preserve">          6279 - GENERAL EXPENSE</v>
      </c>
      <c r="C64" s="11"/>
      <c r="D64" s="7"/>
      <c r="E64" s="2"/>
      <c r="F64" s="6">
        <f t="shared" si="28"/>
        <v>0</v>
      </c>
      <c r="G64" s="2"/>
      <c r="H64" s="7">
        <v>0</v>
      </c>
      <c r="I64" s="2"/>
      <c r="J64" s="6">
        <f t="shared" si="29"/>
        <v>0</v>
      </c>
      <c r="K64" s="2"/>
      <c r="L64" s="7">
        <f t="shared" si="30"/>
        <v>0</v>
      </c>
      <c r="M64" s="2"/>
      <c r="N64" s="6">
        <f t="shared" si="31"/>
        <v>0</v>
      </c>
      <c r="O64" s="11"/>
      <c r="P64" s="7"/>
      <c r="Q64" s="2"/>
      <c r="R64" s="6">
        <f t="shared" si="32"/>
        <v>0</v>
      </c>
      <c r="S64" s="2"/>
      <c r="T64" s="7">
        <v>125</v>
      </c>
      <c r="U64" s="2"/>
      <c r="V64" s="6">
        <f t="shared" si="33"/>
        <v>4.5413772144209438E-5</v>
      </c>
      <c r="W64" s="2"/>
      <c r="X64" s="7">
        <f t="shared" si="34"/>
        <v>-125</v>
      </c>
      <c r="Y64" s="2"/>
      <c r="Z64" s="6">
        <f t="shared" si="35"/>
        <v>-1</v>
      </c>
    </row>
    <row r="65" spans="1:26" s="28" customFormat="1" outlineLevel="1" collapsed="1" x14ac:dyDescent="0.25">
      <c r="A65" s="27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SUM(OSRRefD22_7x_0)</f>
        <v>1000</v>
      </c>
      <c r="E65" s="1"/>
      <c r="F65" s="5">
        <f t="shared" si="28"/>
        <v>4.2670009264512412E-3</v>
      </c>
      <c r="G65" s="1"/>
      <c r="H65" s="1">
        <f>SUM(OSRRefH22_7x_0)</f>
        <v>1000</v>
      </c>
      <c r="I65" s="1"/>
      <c r="J65" s="5">
        <f t="shared" si="29"/>
        <v>2.1317234557795286E-3</v>
      </c>
      <c r="K65" s="1"/>
      <c r="L65" s="1">
        <f t="shared" si="30"/>
        <v>0</v>
      </c>
      <c r="M65" s="1"/>
      <c r="N65" s="5">
        <f t="shared" si="31"/>
        <v>0</v>
      </c>
      <c r="O65" s="14"/>
      <c r="P65" s="1">
        <f>SUM(OSRRefP22_7x_0)</f>
        <v>3000</v>
      </c>
      <c r="Q65" s="1"/>
      <c r="R65" s="5">
        <f t="shared" si="32"/>
        <v>2.296840443317768E-3</v>
      </c>
      <c r="S65" s="1"/>
      <c r="T65" s="1">
        <f>SUM(OSRRefT22_7x_0)</f>
        <v>3000</v>
      </c>
      <c r="U65" s="1"/>
      <c r="V65" s="5">
        <f t="shared" si="33"/>
        <v>1.0899305314610265E-3</v>
      </c>
      <c r="W65" s="1"/>
      <c r="X65" s="1">
        <f t="shared" si="34"/>
        <v>0</v>
      </c>
      <c r="Y65" s="1"/>
      <c r="Z65" s="5">
        <f t="shared" si="35"/>
        <v>0</v>
      </c>
    </row>
    <row r="66" spans="1:26" s="24" customFormat="1" hidden="1" outlineLevel="2" x14ac:dyDescent="0.25">
      <c r="A66" s="29"/>
      <c r="B66" s="11" t="str">
        <f>CONCATENATE("          ", "6408", " - ", "INVENTORY ADJUSTMENT")</f>
        <v xml:space="preserve">          6408 - INVENTORY ADJUSTMENT</v>
      </c>
      <c r="C66" s="11"/>
      <c r="D66" s="7">
        <v>1000</v>
      </c>
      <c r="E66" s="2"/>
      <c r="F66" s="6">
        <f t="shared" si="28"/>
        <v>4.2670009264512412E-3</v>
      </c>
      <c r="G66" s="2"/>
      <c r="H66" s="7">
        <v>1000</v>
      </c>
      <c r="I66" s="2"/>
      <c r="J66" s="6">
        <f t="shared" si="29"/>
        <v>2.1317234557795286E-3</v>
      </c>
      <c r="K66" s="2"/>
      <c r="L66" s="7">
        <f t="shared" si="30"/>
        <v>0</v>
      </c>
      <c r="M66" s="2"/>
      <c r="N66" s="6">
        <f t="shared" si="31"/>
        <v>0</v>
      </c>
      <c r="O66" s="11"/>
      <c r="P66" s="7">
        <v>3000</v>
      </c>
      <c r="Q66" s="2"/>
      <c r="R66" s="6">
        <f t="shared" si="32"/>
        <v>2.296840443317768E-3</v>
      </c>
      <c r="S66" s="2"/>
      <c r="T66" s="7">
        <v>3000</v>
      </c>
      <c r="U66" s="2"/>
      <c r="V66" s="6">
        <f t="shared" si="33"/>
        <v>1.0899305314610265E-3</v>
      </c>
      <c r="W66" s="2"/>
      <c r="X66" s="7">
        <f t="shared" si="34"/>
        <v>0</v>
      </c>
      <c r="Y66" s="2"/>
      <c r="Z66" s="6">
        <f t="shared" si="35"/>
        <v>0</v>
      </c>
    </row>
    <row r="67" spans="1:26" s="28" customFormat="1" outlineLevel="1" collapsed="1" x14ac:dyDescent="0.25">
      <c r="A67" s="27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SUM(OSRRefD22_8x_0)</f>
        <v>0</v>
      </c>
      <c r="E67" s="1"/>
      <c r="F67" s="5">
        <f t="shared" si="28"/>
        <v>0</v>
      </c>
      <c r="G67" s="1"/>
      <c r="H67" s="1">
        <f>SUM(OSRRefH22_8x_0)</f>
        <v>80</v>
      </c>
      <c r="I67" s="1"/>
      <c r="J67" s="5">
        <f t="shared" si="29"/>
        <v>1.7053787646236228E-4</v>
      </c>
      <c r="K67" s="1"/>
      <c r="L67" s="1">
        <f t="shared" si="30"/>
        <v>-80</v>
      </c>
      <c r="M67" s="1"/>
      <c r="N67" s="5">
        <f t="shared" si="31"/>
        <v>-1</v>
      </c>
      <c r="O67" s="14"/>
      <c r="P67" s="1">
        <f>SUM(OSRRefP22_8x_0)</f>
        <v>2900.53</v>
      </c>
      <c r="Q67" s="1"/>
      <c r="R67" s="5">
        <f t="shared" si="32"/>
        <v>2.220684870352162E-3</v>
      </c>
      <c r="S67" s="1"/>
      <c r="T67" s="1">
        <f>SUM(OSRRefT22_8x_0)</f>
        <v>240</v>
      </c>
      <c r="U67" s="1"/>
      <c r="V67" s="5">
        <f t="shared" si="33"/>
        <v>8.7194442516882111E-5</v>
      </c>
      <c r="W67" s="1"/>
      <c r="X67" s="1">
        <f t="shared" si="34"/>
        <v>2660.53</v>
      </c>
      <c r="Y67" s="1"/>
      <c r="Z67" s="5">
        <f t="shared" si="35"/>
        <v>11.085541666666668</v>
      </c>
    </row>
    <row r="68" spans="1:26" s="24" customFormat="1" hidden="1" outlineLevel="2" x14ac:dyDescent="0.25">
      <c r="A68" s="29"/>
      <c r="B68" s="11" t="str">
        <f>CONCATENATE("          ", "6371", " - ", "COMPUTER SOFTWARE MAINTENANCE")</f>
        <v xml:space="preserve">          6371 - COMPUTER SOFTWARE MAINTENANCE</v>
      </c>
      <c r="C68" s="11"/>
      <c r="D68" s="7"/>
      <c r="E68" s="2"/>
      <c r="F68" s="6">
        <f t="shared" si="28"/>
        <v>0</v>
      </c>
      <c r="G68" s="2"/>
      <c r="H68" s="7"/>
      <c r="I68" s="2"/>
      <c r="J68" s="6">
        <f t="shared" si="29"/>
        <v>0</v>
      </c>
      <c r="K68" s="2"/>
      <c r="L68" s="7">
        <f t="shared" si="30"/>
        <v>0</v>
      </c>
      <c r="M68" s="2"/>
      <c r="N68" s="6">
        <f t="shared" si="31"/>
        <v>0</v>
      </c>
      <c r="O68" s="11"/>
      <c r="P68" s="7">
        <v>2887.5</v>
      </c>
      <c r="Q68" s="2"/>
      <c r="R68" s="6">
        <f t="shared" si="32"/>
        <v>2.2107089266933514E-3</v>
      </c>
      <c r="S68" s="2"/>
      <c r="T68" s="7"/>
      <c r="U68" s="2"/>
      <c r="V68" s="6">
        <f t="shared" si="33"/>
        <v>0</v>
      </c>
      <c r="W68" s="2"/>
      <c r="X68" s="7">
        <f t="shared" si="34"/>
        <v>2887.5</v>
      </c>
      <c r="Y68" s="2"/>
      <c r="Z68" s="6">
        <f t="shared" si="35"/>
        <v>0</v>
      </c>
    </row>
    <row r="69" spans="1:26" s="24" customFormat="1" hidden="1" outlineLevel="2" x14ac:dyDescent="0.25">
      <c r="A69" s="29"/>
      <c r="B69" s="11" t="str">
        <f>CONCATENATE("          ", "6373", " - ", "MAINTENANCE CONTRACTS")</f>
        <v xml:space="preserve">          6373 - MAINTENANCE CONTRACTS</v>
      </c>
      <c r="C69" s="11"/>
      <c r="D69" s="7"/>
      <c r="E69" s="2"/>
      <c r="F69" s="6">
        <f t="shared" si="28"/>
        <v>0</v>
      </c>
      <c r="G69" s="2"/>
      <c r="H69" s="7">
        <v>40</v>
      </c>
      <c r="I69" s="2"/>
      <c r="J69" s="6">
        <f t="shared" si="29"/>
        <v>8.5268938231181139E-5</v>
      </c>
      <c r="K69" s="2"/>
      <c r="L69" s="7">
        <f t="shared" si="30"/>
        <v>-40</v>
      </c>
      <c r="M69" s="2"/>
      <c r="N69" s="6">
        <f t="shared" si="31"/>
        <v>-1</v>
      </c>
      <c r="O69" s="11"/>
      <c r="P69" s="7">
        <v>13.03</v>
      </c>
      <c r="Q69" s="2"/>
      <c r="R69" s="6">
        <f t="shared" si="32"/>
        <v>9.9759436588101712E-6</v>
      </c>
      <c r="S69" s="2"/>
      <c r="T69" s="7">
        <v>120</v>
      </c>
      <c r="U69" s="2"/>
      <c r="V69" s="6">
        <f t="shared" si="33"/>
        <v>4.3597221258441056E-5</v>
      </c>
      <c r="W69" s="2"/>
      <c r="X69" s="7">
        <f t="shared" si="34"/>
        <v>-106.97</v>
      </c>
      <c r="Y69" s="2"/>
      <c r="Z69" s="6">
        <f t="shared" si="35"/>
        <v>-0.89141666666666663</v>
      </c>
    </row>
    <row r="70" spans="1:26" s="24" customFormat="1" hidden="1" outlineLevel="2" x14ac:dyDescent="0.25">
      <c r="A70" s="29"/>
      <c r="B70" s="11" t="str">
        <f>CONCATENATE("          ", "6375", " - ", "OUTSIDE REPAIRS &amp; MAINTENANCE")</f>
        <v xml:space="preserve">          6375 - OUTSIDE REPAIRS &amp; MAINTENANCE</v>
      </c>
      <c r="C70" s="11"/>
      <c r="D70" s="7"/>
      <c r="E70" s="2"/>
      <c r="F70" s="6">
        <f t="shared" si="28"/>
        <v>0</v>
      </c>
      <c r="G70" s="2"/>
      <c r="H70" s="7">
        <v>40</v>
      </c>
      <c r="I70" s="2"/>
      <c r="J70" s="6">
        <f t="shared" si="29"/>
        <v>8.5268938231181139E-5</v>
      </c>
      <c r="K70" s="2"/>
      <c r="L70" s="7">
        <f t="shared" si="30"/>
        <v>-40</v>
      </c>
      <c r="M70" s="2"/>
      <c r="N70" s="6">
        <f t="shared" si="31"/>
        <v>-1</v>
      </c>
      <c r="O70" s="11"/>
      <c r="P70" s="7"/>
      <c r="Q70" s="2"/>
      <c r="R70" s="6">
        <f t="shared" si="32"/>
        <v>0</v>
      </c>
      <c r="S70" s="2"/>
      <c r="T70" s="7">
        <v>120</v>
      </c>
      <c r="U70" s="2"/>
      <c r="V70" s="6">
        <f t="shared" si="33"/>
        <v>4.3597221258441056E-5</v>
      </c>
      <c r="W70" s="2"/>
      <c r="X70" s="7">
        <f t="shared" si="34"/>
        <v>-120</v>
      </c>
      <c r="Y70" s="2"/>
      <c r="Z70" s="6">
        <f t="shared" si="35"/>
        <v>-1</v>
      </c>
    </row>
    <row r="71" spans="1:26" s="28" customFormat="1" outlineLevel="1" collapsed="1" x14ac:dyDescent="0.25">
      <c r="A71" s="27"/>
      <c r="B71" s="14" t="str">
        <f>CONCATENATE("     ","Subscriptions &amp; Dues                              ")</f>
        <v xml:space="preserve">     Subscriptions &amp; Dues                              </v>
      </c>
      <c r="C71" s="14"/>
      <c r="D71" s="1">
        <f>SUM(OSRRefD22_9x_0)</f>
        <v>47.44</v>
      </c>
      <c r="E71" s="1"/>
      <c r="F71" s="5">
        <f t="shared" ref="F71:F75" si="36">IF(D$12=0,0,D71/D$12)</f>
        <v>2.0242652395084689E-4</v>
      </c>
      <c r="G71" s="1"/>
      <c r="H71" s="1">
        <f>SUM(OSRRefH22_9x_0)</f>
        <v>300</v>
      </c>
      <c r="I71" s="1"/>
      <c r="J71" s="5">
        <f t="shared" ref="J71:J75" si="37">IF(H$12=0,0,H71/H$12)</f>
        <v>6.3951703673385861E-4</v>
      </c>
      <c r="K71" s="1"/>
      <c r="L71" s="1">
        <f t="shared" ref="L71:L75" si="38">+D71-H71</f>
        <v>-252.56</v>
      </c>
      <c r="M71" s="1"/>
      <c r="N71" s="5">
        <f t="shared" ref="N71:N75" si="39">IF(H71=0,0,L71/H71)</f>
        <v>-0.84186666666666665</v>
      </c>
      <c r="O71" s="14"/>
      <c r="P71" s="1">
        <f>SUM(OSRRefP22_9x_0)</f>
        <v>172.76</v>
      </c>
      <c r="Q71" s="1"/>
      <c r="R71" s="5">
        <f t="shared" ref="R71:R75" si="40">IF(P$12=0,0,P71/P$12)</f>
        <v>1.3226738499585918E-4</v>
      </c>
      <c r="S71" s="1"/>
      <c r="T71" s="1">
        <f>SUM(OSRRefT22_9x_0)</f>
        <v>900</v>
      </c>
      <c r="U71" s="1"/>
      <c r="V71" s="5">
        <f t="shared" ref="V71:V75" si="41">IF(T$12=0,0,T71/T$12)</f>
        <v>3.2697915943830791E-4</v>
      </c>
      <c r="W71" s="1"/>
      <c r="X71" s="1">
        <f t="shared" ref="X71:X75" si="42">+P71-T71</f>
        <v>-727.24</v>
      </c>
      <c r="Y71" s="1"/>
      <c r="Z71" s="5">
        <f t="shared" ref="Z71:Z75" si="43">IF(T71=0,0,X71/T71)</f>
        <v>-0.80804444444444445</v>
      </c>
    </row>
    <row r="72" spans="1:26" s="24" customFormat="1" hidden="1" outlineLevel="2" x14ac:dyDescent="0.25">
      <c r="A72" s="29"/>
      <c r="B72" s="11" t="str">
        <f>CONCATENATE("          ", "6258", " - ", "MEMBERSHIP DUES")</f>
        <v xml:space="preserve">          6258 - MEMBERSHIP DUES</v>
      </c>
      <c r="C72" s="11"/>
      <c r="D72" s="7">
        <v>47.44</v>
      </c>
      <c r="E72" s="2"/>
      <c r="F72" s="6">
        <f t="shared" si="36"/>
        <v>2.0242652395084689E-4</v>
      </c>
      <c r="G72" s="2"/>
      <c r="H72" s="7">
        <v>300</v>
      </c>
      <c r="I72" s="2"/>
      <c r="J72" s="6">
        <f t="shared" si="37"/>
        <v>6.3951703673385861E-4</v>
      </c>
      <c r="K72" s="2"/>
      <c r="L72" s="7">
        <f t="shared" si="38"/>
        <v>-252.56</v>
      </c>
      <c r="M72" s="2"/>
      <c r="N72" s="6">
        <f t="shared" si="39"/>
        <v>-0.84186666666666665</v>
      </c>
      <c r="O72" s="11"/>
      <c r="P72" s="7">
        <v>172.76</v>
      </c>
      <c r="Q72" s="2"/>
      <c r="R72" s="6">
        <f t="shared" si="40"/>
        <v>1.3226738499585918E-4</v>
      </c>
      <c r="S72" s="2"/>
      <c r="T72" s="7">
        <v>900</v>
      </c>
      <c r="U72" s="2"/>
      <c r="V72" s="6">
        <f t="shared" si="41"/>
        <v>3.2697915943830791E-4</v>
      </c>
      <c r="W72" s="2"/>
      <c r="X72" s="7">
        <f t="shared" si="42"/>
        <v>-727.24</v>
      </c>
      <c r="Y72" s="2"/>
      <c r="Z72" s="6">
        <f t="shared" si="43"/>
        <v>-0.80804444444444445</v>
      </c>
    </row>
    <row r="73" spans="1:26" s="28" customFormat="1" outlineLevel="1" collapsed="1" x14ac:dyDescent="0.25">
      <c r="A73" s="27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SUM(OSRRefD22_10x_0)</f>
        <v>8.5399999999999991</v>
      </c>
      <c r="E73" s="1"/>
      <c r="F73" s="5">
        <f t="shared" si="36"/>
        <v>3.6440187911893596E-5</v>
      </c>
      <c r="G73" s="1"/>
      <c r="H73" s="1">
        <f>SUM(OSRRefH22_10x_0)</f>
        <v>700</v>
      </c>
      <c r="I73" s="1"/>
      <c r="J73" s="5">
        <f t="shared" si="37"/>
        <v>1.49220641904567E-3</v>
      </c>
      <c r="K73" s="1"/>
      <c r="L73" s="1">
        <f t="shared" si="38"/>
        <v>-691.46</v>
      </c>
      <c r="M73" s="1"/>
      <c r="N73" s="5">
        <f t="shared" si="39"/>
        <v>-0.98780000000000001</v>
      </c>
      <c r="O73" s="14"/>
      <c r="P73" s="1">
        <f>SUM(OSRRefP22_10x_0)</f>
        <v>609.89</v>
      </c>
      <c r="Q73" s="1"/>
      <c r="R73" s="5">
        <f t="shared" si="40"/>
        <v>4.6694000599169114E-4</v>
      </c>
      <c r="S73" s="1"/>
      <c r="T73" s="1">
        <f>SUM(OSRRefT22_10x_0)</f>
        <v>2400</v>
      </c>
      <c r="U73" s="1"/>
      <c r="V73" s="5">
        <f t="shared" si="41"/>
        <v>8.719444251688212E-4</v>
      </c>
      <c r="W73" s="1"/>
      <c r="X73" s="1">
        <f t="shared" si="42"/>
        <v>-1790.1100000000001</v>
      </c>
      <c r="Y73" s="1"/>
      <c r="Z73" s="5">
        <f t="shared" si="43"/>
        <v>-0.74587916666666676</v>
      </c>
    </row>
    <row r="74" spans="1:26" s="24" customFormat="1" hidden="1" outlineLevel="2" x14ac:dyDescent="0.25">
      <c r="A74" s="29"/>
      <c r="B74" s="11" t="str">
        <f>CONCATENATE("          ", "6241", " - ", "OFFICE EXPENSE")</f>
        <v xml:space="preserve">          6241 - OFFICE EXPENSE</v>
      </c>
      <c r="C74" s="11"/>
      <c r="D74" s="7">
        <v>8.5399999999999991</v>
      </c>
      <c r="E74" s="2"/>
      <c r="F74" s="6">
        <f t="shared" si="36"/>
        <v>3.6440187911893596E-5</v>
      </c>
      <c r="G74" s="2"/>
      <c r="H74" s="7">
        <v>300</v>
      </c>
      <c r="I74" s="2"/>
      <c r="J74" s="6">
        <f t="shared" si="37"/>
        <v>6.3951703673385861E-4</v>
      </c>
      <c r="K74" s="2"/>
      <c r="L74" s="7">
        <f t="shared" si="38"/>
        <v>-291.45999999999998</v>
      </c>
      <c r="M74" s="2"/>
      <c r="N74" s="6">
        <f t="shared" si="39"/>
        <v>-0.97153333333333325</v>
      </c>
      <c r="O74" s="11"/>
      <c r="P74" s="7">
        <v>609.89</v>
      </c>
      <c r="Q74" s="2"/>
      <c r="R74" s="6">
        <f t="shared" si="40"/>
        <v>4.6694000599169114E-4</v>
      </c>
      <c r="S74" s="2"/>
      <c r="T74" s="7">
        <v>1200</v>
      </c>
      <c r="U74" s="2"/>
      <c r="V74" s="6">
        <f t="shared" si="41"/>
        <v>4.359722125844106E-4</v>
      </c>
      <c r="W74" s="2"/>
      <c r="X74" s="7">
        <f t="shared" si="42"/>
        <v>-590.11</v>
      </c>
      <c r="Y74" s="2"/>
      <c r="Z74" s="6">
        <f t="shared" si="43"/>
        <v>-0.49175833333333335</v>
      </c>
    </row>
    <row r="75" spans="1:26" s="24" customFormat="1" hidden="1" outlineLevel="2" x14ac:dyDescent="0.25">
      <c r="A75" s="29"/>
      <c r="B75" s="11" t="str">
        <f>CONCATENATE("          ", "6247", " - ", "STORE SUPPLIES")</f>
        <v xml:space="preserve">          6247 - STORE SUPPLIES</v>
      </c>
      <c r="C75" s="11"/>
      <c r="D75" s="7"/>
      <c r="E75" s="2"/>
      <c r="F75" s="6">
        <f t="shared" si="36"/>
        <v>0</v>
      </c>
      <c r="G75" s="2"/>
      <c r="H75" s="7">
        <v>400</v>
      </c>
      <c r="I75" s="2"/>
      <c r="J75" s="6">
        <f t="shared" si="37"/>
        <v>8.5268938231181145E-4</v>
      </c>
      <c r="K75" s="2"/>
      <c r="L75" s="7">
        <f t="shared" si="38"/>
        <v>-400</v>
      </c>
      <c r="M75" s="2"/>
      <c r="N75" s="6">
        <f t="shared" si="39"/>
        <v>-1</v>
      </c>
      <c r="O75" s="11"/>
      <c r="P75" s="7"/>
      <c r="Q75" s="2"/>
      <c r="R75" s="6">
        <f t="shared" si="40"/>
        <v>0</v>
      </c>
      <c r="S75" s="2"/>
      <c r="T75" s="7">
        <v>1200</v>
      </c>
      <c r="U75" s="2"/>
      <c r="V75" s="6">
        <f t="shared" si="41"/>
        <v>4.359722125844106E-4</v>
      </c>
      <c r="W75" s="2"/>
      <c r="X75" s="7">
        <f t="shared" si="42"/>
        <v>-1200</v>
      </c>
      <c r="Y75" s="2"/>
      <c r="Z75" s="6">
        <f t="shared" si="43"/>
        <v>-1</v>
      </c>
    </row>
    <row r="76" spans="1:26" s="28" customFormat="1" outlineLevel="1" collapsed="1" x14ac:dyDescent="0.25">
      <c r="A76" s="27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SUM(OSRRefD22_11x_0)</f>
        <v>414.85</v>
      </c>
      <c r="E76" s="1"/>
      <c r="F76" s="5">
        <f t="shared" ref="F76:F78" si="44">IF(D$12=0,0,D76/D$12)</f>
        <v>1.7701653343382977E-3</v>
      </c>
      <c r="G76" s="1"/>
      <c r="H76" s="1">
        <f>SUM(OSRRefH22_11x_0)</f>
        <v>450</v>
      </c>
      <c r="I76" s="1"/>
      <c r="J76" s="5">
        <f t="shared" ref="J76:J78" si="45">IF(H$12=0,0,H76/H$12)</f>
        <v>9.5927555510078792E-4</v>
      </c>
      <c r="K76" s="1"/>
      <c r="L76" s="1">
        <f t="shared" ref="L76:L78" si="46">+D76-H76</f>
        <v>-35.149999999999977</v>
      </c>
      <c r="M76" s="1"/>
      <c r="N76" s="5">
        <f t="shared" ref="N76:N78" si="47">IF(H76=0,0,L76/H76)</f>
        <v>-7.8111111111111062E-2</v>
      </c>
      <c r="O76" s="14"/>
      <c r="P76" s="1">
        <f>SUM(OSRRefP22_11x_0)</f>
        <v>1843.15</v>
      </c>
      <c r="Q76" s="1"/>
      <c r="R76" s="5">
        <f t="shared" ref="R76:R78" si="48">IF(P$12=0,0,P76/P$12)</f>
        <v>1.4111404877003813E-3</v>
      </c>
      <c r="S76" s="1"/>
      <c r="T76" s="1">
        <f>SUM(OSRRefT22_11x_0)</f>
        <v>1400</v>
      </c>
      <c r="U76" s="1"/>
      <c r="V76" s="5">
        <f t="shared" ref="V76:V78" si="49">IF(T$12=0,0,T76/T$12)</f>
        <v>5.0863424801514563E-4</v>
      </c>
      <c r="W76" s="1"/>
      <c r="X76" s="1">
        <f t="shared" ref="X76:X78" si="50">+P76-T76</f>
        <v>443.15000000000009</v>
      </c>
      <c r="Y76" s="1"/>
      <c r="Z76" s="5">
        <f t="shared" ref="Z76:Z78" si="51">IF(T76=0,0,X76/T76)</f>
        <v>0.31653571428571436</v>
      </c>
    </row>
    <row r="77" spans="1:26" s="24" customFormat="1" hidden="1" outlineLevel="2" x14ac:dyDescent="0.25">
      <c r="A77" s="29"/>
      <c r="B77" s="11" t="str">
        <f>CONCATENATE("          ", "6303", " - ", "DATA PHONE LINES")</f>
        <v xml:space="preserve">          6303 - DATA PHONE LINES</v>
      </c>
      <c r="C77" s="11"/>
      <c r="D77" s="7"/>
      <c r="E77" s="2"/>
      <c r="F77" s="6">
        <f t="shared" si="44"/>
        <v>0</v>
      </c>
      <c r="G77" s="2"/>
      <c r="H77" s="7">
        <v>0</v>
      </c>
      <c r="I77" s="2"/>
      <c r="J77" s="6">
        <f t="shared" si="45"/>
        <v>0</v>
      </c>
      <c r="K77" s="2"/>
      <c r="L77" s="7">
        <f t="shared" si="46"/>
        <v>0</v>
      </c>
      <c r="M77" s="2"/>
      <c r="N77" s="6">
        <f t="shared" si="47"/>
        <v>0</v>
      </c>
      <c r="O77" s="11"/>
      <c r="P77" s="7">
        <v>295</v>
      </c>
      <c r="Q77" s="2"/>
      <c r="R77" s="6">
        <f t="shared" si="48"/>
        <v>2.2585597692624719E-4</v>
      </c>
      <c r="S77" s="2"/>
      <c r="T77" s="7">
        <v>0</v>
      </c>
      <c r="U77" s="2"/>
      <c r="V77" s="6">
        <f t="shared" si="49"/>
        <v>0</v>
      </c>
      <c r="W77" s="2"/>
      <c r="X77" s="7">
        <f t="shared" si="50"/>
        <v>295</v>
      </c>
      <c r="Y77" s="2"/>
      <c r="Z77" s="6">
        <f t="shared" si="51"/>
        <v>0</v>
      </c>
    </row>
    <row r="78" spans="1:26" s="24" customFormat="1" hidden="1" outlineLevel="2" x14ac:dyDescent="0.25">
      <c r="A78" s="29"/>
      <c r="B78" s="11" t="str">
        <f>CONCATENATE("          ", "6309", " - ", "TELEPHONE")</f>
        <v xml:space="preserve">          6309 - TELEPHONE</v>
      </c>
      <c r="C78" s="11"/>
      <c r="D78" s="7">
        <v>414.85</v>
      </c>
      <c r="E78" s="2"/>
      <c r="F78" s="6">
        <f t="shared" si="44"/>
        <v>1.7701653343382977E-3</v>
      </c>
      <c r="G78" s="2"/>
      <c r="H78" s="7">
        <v>450</v>
      </c>
      <c r="I78" s="2"/>
      <c r="J78" s="6">
        <f t="shared" si="45"/>
        <v>9.5927555510078792E-4</v>
      </c>
      <c r="K78" s="2"/>
      <c r="L78" s="7">
        <f t="shared" si="46"/>
        <v>-35.149999999999977</v>
      </c>
      <c r="M78" s="2"/>
      <c r="N78" s="6">
        <f t="shared" si="47"/>
        <v>-7.8111111111111062E-2</v>
      </c>
      <c r="O78" s="11"/>
      <c r="P78" s="7">
        <v>1548.15</v>
      </c>
      <c r="Q78" s="2"/>
      <c r="R78" s="6">
        <f t="shared" si="48"/>
        <v>1.1852845107741341E-3</v>
      </c>
      <c r="S78" s="2"/>
      <c r="T78" s="7">
        <v>1400</v>
      </c>
      <c r="U78" s="2"/>
      <c r="V78" s="6">
        <f t="shared" si="49"/>
        <v>5.0863424801514563E-4</v>
      </c>
      <c r="W78" s="2"/>
      <c r="X78" s="7">
        <f t="shared" si="50"/>
        <v>148.15000000000009</v>
      </c>
      <c r="Y78" s="2"/>
      <c r="Z78" s="6">
        <f t="shared" si="51"/>
        <v>0.10582142857142864</v>
      </c>
    </row>
    <row r="79" spans="1:26" s="58" customFormat="1" x14ac:dyDescent="0.25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collapsed="1" x14ac:dyDescent="0.25">
      <c r="A80" s="10"/>
      <c r="B80" s="26" t="s">
        <v>293</v>
      </c>
      <c r="C80" s="10"/>
      <c r="D80" s="4">
        <f>SUM(OSRRefD25x_0)</f>
        <v>158981.44999999998</v>
      </c>
      <c r="E80" s="4"/>
      <c r="F80" s="12">
        <f t="shared" ref="F80:F84" si="52">IF(D$12=0,0,D80/D$12)</f>
        <v>0.67837399443856161</v>
      </c>
      <c r="G80" s="4"/>
      <c r="H80" s="4">
        <f>SUM(OSRRefH25x_0)</f>
        <v>173146.5</v>
      </c>
      <c r="I80" s="4"/>
      <c r="J80" s="12">
        <f t="shared" ref="J80:J84" si="53">IF(H$12=0,0,H80/H$12)</f>
        <v>0.36910045533613017</v>
      </c>
      <c r="K80" s="4"/>
      <c r="L80" s="4">
        <f t="shared" ref="L80:L84" si="54">+D80-H80</f>
        <v>-14165.050000000017</v>
      </c>
      <c r="M80" s="4"/>
      <c r="N80" s="12">
        <f t="shared" ref="N80:N84" si="55">IF(H80=0,0,L80/H80)</f>
        <v>-8.1809623642406959E-2</v>
      </c>
      <c r="O80" s="10"/>
      <c r="P80" s="4">
        <f>SUM(OSRRefP25x_0)</f>
        <v>187956.47999999998</v>
      </c>
      <c r="Q80" s="4"/>
      <c r="R80" s="12">
        <f t="shared" ref="R80:R84" si="56">IF(P$12=0,0,P80/P$12)</f>
        <v>0.1439020149492157</v>
      </c>
      <c r="S80" s="4"/>
      <c r="T80" s="4">
        <f>SUM(OSRRefT25x_0)</f>
        <v>177706.5</v>
      </c>
      <c r="U80" s="4"/>
      <c r="V80" s="12">
        <f t="shared" ref="V80:V84" si="57">IF(T$12=0,0,T80/T$12)</f>
        <v>6.4562579996359629E-2</v>
      </c>
      <c r="W80" s="4"/>
      <c r="X80" s="4">
        <f t="shared" ref="X80:X84" si="58">+P80-T80</f>
        <v>10249.979999999981</v>
      </c>
      <c r="Y80" s="4"/>
      <c r="Z80" s="12">
        <f t="shared" ref="Z80:Z84" si="59">IF(T80=0,0,X80/T80)</f>
        <v>5.7679263279621071E-2</v>
      </c>
    </row>
    <row r="81" spans="1:26" s="24" customFormat="1" hidden="1" outlineLevel="1" x14ac:dyDescent="0.25">
      <c r="A81" s="44"/>
      <c r="B81" s="11" t="str">
        <f>CONCATENATE("          ", "9150", " - ", "MISC. INCOME")</f>
        <v xml:space="preserve">          9150 - MISC. INCOME</v>
      </c>
      <c r="C81" s="11"/>
      <c r="D81" s="2">
        <f>--1139.37</f>
        <v>1139.3699999999999</v>
      </c>
      <c r="E81" s="2"/>
      <c r="F81" s="19">
        <f t="shared" si="52"/>
        <v>4.8616928455707505E-3</v>
      </c>
      <c r="G81" s="2"/>
      <c r="H81" s="2">
        <v>11166</v>
      </c>
      <c r="I81" s="2"/>
      <c r="J81" s="19">
        <f t="shared" si="53"/>
        <v>2.3802824107234218E-2</v>
      </c>
      <c r="K81" s="2"/>
      <c r="L81" s="2">
        <f t="shared" si="54"/>
        <v>-10026.630000000001</v>
      </c>
      <c r="M81" s="2"/>
      <c r="N81" s="19">
        <f t="shared" si="55"/>
        <v>-0.89796077377753902</v>
      </c>
      <c r="O81" s="11"/>
      <c r="P81" s="2">
        <f>--17555.01</f>
        <v>17555.009999999998</v>
      </c>
      <c r="Q81" s="2"/>
      <c r="R81" s="19">
        <f t="shared" si="56"/>
        <v>1.3440352316949282E-2</v>
      </c>
      <c r="S81" s="2"/>
      <c r="T81" s="2">
        <v>15726</v>
      </c>
      <c r="U81" s="2"/>
      <c r="V81" s="19">
        <f t="shared" si="57"/>
        <v>5.7134158459187009E-3</v>
      </c>
      <c r="W81" s="2"/>
      <c r="X81" s="2">
        <f t="shared" si="58"/>
        <v>1829.0099999999984</v>
      </c>
      <c r="Y81" s="2"/>
      <c r="Z81" s="19">
        <f t="shared" si="59"/>
        <v>0.11630484547882478</v>
      </c>
    </row>
    <row r="82" spans="1:26" s="24" customFormat="1" hidden="1" outlineLevel="1" x14ac:dyDescent="0.25">
      <c r="A82" s="44"/>
      <c r="B82" s="11" t="str">
        <f>CONCATENATE("          ", "9151", " - ", "MISC. INCOME")</f>
        <v xml:space="preserve">          9151 - MISC. INCOME</v>
      </c>
      <c r="C82" s="11"/>
      <c r="D82" s="2">
        <f>--156907</f>
        <v>156907</v>
      </c>
      <c r="E82" s="2"/>
      <c r="F82" s="19">
        <f t="shared" si="52"/>
        <v>0.66952231436668497</v>
      </c>
      <c r="G82" s="2"/>
      <c r="H82" s="2">
        <v>161980.5</v>
      </c>
      <c r="I82" s="2"/>
      <c r="J82" s="19">
        <f t="shared" si="53"/>
        <v>0.34529763122889595</v>
      </c>
      <c r="K82" s="2"/>
      <c r="L82" s="2">
        <f t="shared" si="54"/>
        <v>-5073.5</v>
      </c>
      <c r="M82" s="2"/>
      <c r="N82" s="19">
        <f t="shared" si="55"/>
        <v>-3.1321671435759244E-2</v>
      </c>
      <c r="O82" s="11"/>
      <c r="P82" s="2">
        <f>--168463.36</f>
        <v>168463.35999999999</v>
      </c>
      <c r="Q82" s="2"/>
      <c r="R82" s="19">
        <f t="shared" si="56"/>
        <v>0.12897781948840023</v>
      </c>
      <c r="S82" s="2"/>
      <c r="T82" s="2">
        <v>161980.5</v>
      </c>
      <c r="U82" s="2"/>
      <c r="V82" s="19">
        <f t="shared" si="57"/>
        <v>5.8849164150440933E-2</v>
      </c>
      <c r="W82" s="2"/>
      <c r="X82" s="2">
        <f t="shared" si="58"/>
        <v>6482.859999999986</v>
      </c>
      <c r="Y82" s="2"/>
      <c r="Z82" s="19">
        <f t="shared" si="59"/>
        <v>4.0022471840746178E-2</v>
      </c>
    </row>
    <row r="83" spans="1:26" s="24" customFormat="1" hidden="1" outlineLevel="1" x14ac:dyDescent="0.25">
      <c r="A83" s="44"/>
      <c r="B83" s="11" t="str">
        <f>CONCATENATE("          ", "9152", " - ", "MISC. INCOME")</f>
        <v xml:space="preserve">          9152 - MISC. INCOME</v>
      </c>
      <c r="C83" s="11"/>
      <c r="D83" s="2">
        <f>--935.08</f>
        <v>935.08</v>
      </c>
      <c r="E83" s="2"/>
      <c r="F83" s="19">
        <f t="shared" si="52"/>
        <v>3.9899872263060273E-3</v>
      </c>
      <c r="G83" s="2"/>
      <c r="H83" s="2"/>
      <c r="I83" s="2"/>
      <c r="J83" s="19">
        <f t="shared" si="53"/>
        <v>0</v>
      </c>
      <c r="K83" s="2"/>
      <c r="L83" s="2">
        <f t="shared" si="54"/>
        <v>935.08</v>
      </c>
      <c r="M83" s="2"/>
      <c r="N83" s="19">
        <f t="shared" si="55"/>
        <v>0</v>
      </c>
      <c r="O83" s="11"/>
      <c r="P83" s="2">
        <f>--1938.11</f>
        <v>1938.11</v>
      </c>
      <c r="Q83" s="2"/>
      <c r="R83" s="19">
        <f t="shared" si="56"/>
        <v>1.4838431438661997E-3</v>
      </c>
      <c r="S83" s="2"/>
      <c r="T83" s="2"/>
      <c r="U83" s="2"/>
      <c r="V83" s="19">
        <f t="shared" si="57"/>
        <v>0</v>
      </c>
      <c r="W83" s="2"/>
      <c r="X83" s="2">
        <f t="shared" si="58"/>
        <v>1938.11</v>
      </c>
      <c r="Y83" s="2"/>
      <c r="Z83" s="19">
        <f t="shared" si="59"/>
        <v>0</v>
      </c>
    </row>
    <row r="84" spans="1:26" s="24" customFormat="1" hidden="1" outlineLevel="1" x14ac:dyDescent="0.25">
      <c r="A84" s="44"/>
      <c r="B84" s="11" t="str">
        <f>CONCATENATE("          ", "9160", " - ", "MISC. INCOME")</f>
        <v xml:space="preserve">          9160 - MISC. INCOME</v>
      </c>
      <c r="C84" s="11"/>
      <c r="D84" s="2">
        <f>0</f>
        <v>0</v>
      </c>
      <c r="E84" s="2"/>
      <c r="F84" s="19">
        <f t="shared" si="52"/>
        <v>0</v>
      </c>
      <c r="G84" s="2"/>
      <c r="H84" s="2">
        <v>0</v>
      </c>
      <c r="I84" s="2"/>
      <c r="J84" s="19">
        <f t="shared" si="53"/>
        <v>0</v>
      </c>
      <c r="K84" s="2"/>
      <c r="L84" s="2">
        <f t="shared" si="54"/>
        <v>0</v>
      </c>
      <c r="M84" s="2"/>
      <c r="N84" s="19">
        <f t="shared" si="55"/>
        <v>0</v>
      </c>
      <c r="O84" s="11"/>
      <c r="P84" s="2">
        <f>0</f>
        <v>0</v>
      </c>
      <c r="Q84" s="2"/>
      <c r="R84" s="19">
        <f t="shared" si="56"/>
        <v>0</v>
      </c>
      <c r="S84" s="2"/>
      <c r="T84" s="2">
        <v>0</v>
      </c>
      <c r="U84" s="2"/>
      <c r="V84" s="19">
        <f t="shared" si="57"/>
        <v>0</v>
      </c>
      <c r="W84" s="2"/>
      <c r="X84" s="2">
        <f t="shared" si="58"/>
        <v>0</v>
      </c>
      <c r="Y84" s="2"/>
      <c r="Z84" s="19">
        <f t="shared" si="59"/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5" t="s">
        <v>277</v>
      </c>
      <c r="C86" s="25"/>
      <c r="D86" s="21">
        <f>+D30-D32+D80</f>
        <v>125385.02999999993</v>
      </c>
      <c r="E86" s="13"/>
      <c r="F86" s="20">
        <f>IF(D$12=0,0,D86/D$12)</f>
        <v>0.53501803917311641</v>
      </c>
      <c r="G86" s="13"/>
      <c r="H86" s="21">
        <f>+H30-H32+H80</f>
        <v>251831.87326101027</v>
      </c>
      <c r="I86" s="13"/>
      <c r="J86" s="20">
        <f>IF(H$12=0,0,H86/H$12)</f>
        <v>0.53683591114339313</v>
      </c>
      <c r="K86" s="16"/>
      <c r="L86" s="21">
        <f>+D86-H86</f>
        <v>-126446.84326101035</v>
      </c>
      <c r="M86" s="16"/>
      <c r="N86" s="20">
        <f>IF(H86=0,0,L86/H86)</f>
        <v>-0.50210817885611703</v>
      </c>
      <c r="O86" s="26"/>
      <c r="P86" s="21">
        <f>+P30-P32+P80</f>
        <v>276690.73999999982</v>
      </c>
      <c r="Q86" s="13"/>
      <c r="R86" s="20">
        <f>IF(P$12=0,0,P86/P$12)</f>
        <v>0.21183816064117361</v>
      </c>
      <c r="S86" s="13"/>
      <c r="T86" s="21">
        <f>+T30-T32+T80</f>
        <v>768403.99715328333</v>
      </c>
      <c r="U86" s="13"/>
      <c r="V86" s="20">
        <f>IF(T$12=0,0,T86/T$12)</f>
        <v>0.27916899233135173</v>
      </c>
      <c r="W86" s="16"/>
      <c r="X86" s="21">
        <f>+P86-T86</f>
        <v>-491713.25715328351</v>
      </c>
      <c r="Y86" s="16"/>
      <c r="Z86" s="20">
        <f>IF(T86=0,0,X86/T86)</f>
        <v>-0.63991501732804656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128</v>
      </c>
      <c r="C88" s="10"/>
      <c r="D88" s="4">
        <v>1508.39</v>
      </c>
      <c r="E88" s="4"/>
      <c r="F88" s="12">
        <f>IF(D$12=0,0,D88/D$12)</f>
        <v>6.4363015274497889E-3</v>
      </c>
      <c r="G88" s="4"/>
      <c r="H88" s="4">
        <v>43153</v>
      </c>
      <c r="I88" s="4"/>
      <c r="J88" s="12">
        <f>IF(H$12=0,0,H88/H$12)</f>
        <v>9.1990262287254002E-2</v>
      </c>
      <c r="K88" s="4"/>
      <c r="L88" s="4">
        <f>+D88-H88</f>
        <v>-41644.61</v>
      </c>
      <c r="M88" s="4"/>
      <c r="N88" s="12">
        <f>IF(H88=0,0,L88/H88)</f>
        <v>-0.96504553565221418</v>
      </c>
      <c r="O88" s="10"/>
      <c r="P88" s="4">
        <v>161668.54999999999</v>
      </c>
      <c r="Q88" s="4"/>
      <c r="R88" s="12">
        <f>IF(P$12=0,0,P88/P$12)</f>
        <v>0.1237756213508469</v>
      </c>
      <c r="S88" s="4"/>
      <c r="T88" s="4">
        <v>298875</v>
      </c>
      <c r="U88" s="4"/>
      <c r="V88" s="12">
        <f>IF(T$12=0,0,T88/T$12)</f>
        <v>0.10858432919680476</v>
      </c>
      <c r="W88" s="4"/>
      <c r="X88" s="4">
        <f>+P88-T88</f>
        <v>-137206.45000000001</v>
      </c>
      <c r="Y88" s="4"/>
      <c r="Z88" s="12">
        <f>IF(T88=0,0,X88/T88)</f>
        <v>-0.45907636971978255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5" t="s">
        <v>126</v>
      </c>
      <c r="C90" s="25"/>
      <c r="D90" s="33">
        <f>+D86-D88</f>
        <v>123876.63999999993</v>
      </c>
      <c r="E90" s="13"/>
      <c r="F90" s="31">
        <f>IF(D$12=0,0,D90/D$12)</f>
        <v>0.52858173764566663</v>
      </c>
      <c r="G90" s="13"/>
      <c r="H90" s="33">
        <f>+H86-H88</f>
        <v>208678.87326101027</v>
      </c>
      <c r="I90" s="13"/>
      <c r="J90" s="31">
        <f>IF(H$12=0,0,H90/H$12)</f>
        <v>0.44484564885613909</v>
      </c>
      <c r="K90" s="16"/>
      <c r="L90" s="33">
        <f>D90-H90</f>
        <v>-84802.233261010348</v>
      </c>
      <c r="M90" s="16"/>
      <c r="N90" s="31">
        <f>IF(H90=0,0,L90/H90)</f>
        <v>-0.40637670663930531</v>
      </c>
      <c r="O90" s="26"/>
      <c r="P90" s="33">
        <f>+P86-P88</f>
        <v>115022.18999999983</v>
      </c>
      <c r="Q90" s="13"/>
      <c r="R90" s="31">
        <f>IF(P$12=0,0,P90/P$12)</f>
        <v>8.8062539290326716E-2</v>
      </c>
      <c r="S90" s="13"/>
      <c r="T90" s="33">
        <f>+T86-T88</f>
        <v>469528.99715328333</v>
      </c>
      <c r="U90" s="13"/>
      <c r="V90" s="31">
        <f>IF(T$12=0,0,T90/T$12)</f>
        <v>0.17058466313454695</v>
      </c>
      <c r="W90" s="16"/>
      <c r="X90" s="33">
        <f>P90-T90</f>
        <v>-354506.8071532835</v>
      </c>
      <c r="Y90" s="16"/>
      <c r="Z90" s="31">
        <f>IF(T90=0,0,X90/T90)</f>
        <v>-0.75502643990601193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5" t="s">
        <v>294</v>
      </c>
      <c r="C93" s="25"/>
      <c r="D93" s="35">
        <f>SUM(D90:D92)</f>
        <v>123876.63999999993</v>
      </c>
      <c r="E93" s="13"/>
      <c r="F93" s="34">
        <f>IF(D$12=0,0,D93/D$12)</f>
        <v>0.52858173764566663</v>
      </c>
      <c r="G93" s="13"/>
      <c r="H93" s="35">
        <f>SUM(H90:H92)</f>
        <v>208678.87326101027</v>
      </c>
      <c r="I93" s="13"/>
      <c r="J93" s="34">
        <f>IF(H$12=0,0,H93/H$12)</f>
        <v>0.44484564885613909</v>
      </c>
      <c r="K93" s="16"/>
      <c r="L93" s="35">
        <f>+D93-H93</f>
        <v>-84802.233261010348</v>
      </c>
      <c r="M93" s="16"/>
      <c r="N93" s="34">
        <f>IF(H93=0,0,L93/H93)</f>
        <v>-0.40637670663930531</v>
      </c>
      <c r="O93" s="26"/>
      <c r="P93" s="35">
        <f>SUM(P90:P92)</f>
        <v>115022.18999999983</v>
      </c>
      <c r="Q93" s="13"/>
      <c r="R93" s="34">
        <f>IF(P$12=0,0,P93/P$12)</f>
        <v>8.8062539290326716E-2</v>
      </c>
      <c r="S93" s="13"/>
      <c r="T93" s="35">
        <f>SUM(T90:T92)</f>
        <v>469528.99715328333</v>
      </c>
      <c r="U93" s="13"/>
      <c r="V93" s="34">
        <f>IF(T$12=0,0,T93/T$12)</f>
        <v>0.17058466313454695</v>
      </c>
      <c r="W93" s="16"/>
      <c r="X93" s="35">
        <f>+P93-T93</f>
        <v>-354506.8071532835</v>
      </c>
      <c r="Y93" s="16"/>
      <c r="Z93" s="34">
        <f>IF(T93=0,0,X93/T93)</f>
        <v>-0.75502643990601193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61">
        <v>44481.978916550928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6" t="s">
        <v>56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4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","311", " - ", "Textbooks")</f>
        <v>Department 311 - Textbooks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176741.79</v>
      </c>
      <c r="E12" s="4"/>
      <c r="F12" s="12"/>
      <c r="G12" s="4"/>
      <c r="H12" s="4">
        <f>SUM(OSRRefH13x_0)</f>
        <v>374803</v>
      </c>
      <c r="I12" s="4"/>
      <c r="J12" s="12"/>
      <c r="K12" s="4"/>
      <c r="L12" s="4">
        <f t="shared" ref="L12:L16" si="0">+D12-H12</f>
        <v>-198061.21</v>
      </c>
      <c r="M12" s="4"/>
      <c r="N12" s="12">
        <f t="shared" ref="N12:N16" si="1">IF(H12=0,0,L12/H12)</f>
        <v>-0.52844083425159349</v>
      </c>
      <c r="O12" s="10"/>
      <c r="P12" s="4">
        <f>SUM(OSRRefP13x_0)</f>
        <v>973372.69000000006</v>
      </c>
      <c r="Q12" s="4"/>
      <c r="R12" s="12"/>
      <c r="S12" s="4"/>
      <c r="T12" s="4">
        <f>SUM(OSRRefT13x_0)</f>
        <v>1840870</v>
      </c>
      <c r="U12" s="4"/>
      <c r="V12" s="12"/>
      <c r="W12" s="4"/>
      <c r="X12" s="4">
        <f t="shared" ref="X12:X16" si="2">+P12-T12</f>
        <v>-867497.30999999994</v>
      </c>
      <c r="Y12" s="4"/>
      <c r="Z12" s="12">
        <f t="shared" ref="Z12:Z16" si="3">IF(T12=0,0,X12/T12)</f>
        <v>-0.47124311331055424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--143706.17</f>
        <v>143706.17000000001</v>
      </c>
      <c r="E13" s="2"/>
      <c r="F13" s="19"/>
      <c r="G13" s="2"/>
      <c r="H13" s="2">
        <v>374803</v>
      </c>
      <c r="I13" s="2"/>
      <c r="J13" s="19"/>
      <c r="K13" s="2"/>
      <c r="L13" s="2">
        <f t="shared" si="0"/>
        <v>-231096.83</v>
      </c>
      <c r="M13" s="2"/>
      <c r="N13" s="19">
        <f t="shared" si="1"/>
        <v>-0.61658212447605809</v>
      </c>
      <c r="O13" s="11"/>
      <c r="P13" s="2">
        <f>--745935.25</f>
        <v>745935.25</v>
      </c>
      <c r="Q13" s="2"/>
      <c r="R13" s="19"/>
      <c r="S13" s="2"/>
      <c r="T13" s="2">
        <v>1840870</v>
      </c>
      <c r="U13" s="2"/>
      <c r="V13" s="19"/>
      <c r="W13" s="2"/>
      <c r="X13" s="2">
        <f t="shared" si="2"/>
        <v>-1094934.75</v>
      </c>
      <c r="Y13" s="2"/>
      <c r="Z13" s="19">
        <f t="shared" si="3"/>
        <v>-0.5947920005214925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--46906.46</f>
        <v>46906.46</v>
      </c>
      <c r="E14" s="2"/>
      <c r="F14" s="19"/>
      <c r="G14" s="2"/>
      <c r="H14" s="2">
        <v>0</v>
      </c>
      <c r="I14" s="2"/>
      <c r="J14" s="19"/>
      <c r="K14" s="2"/>
      <c r="L14" s="2">
        <f t="shared" si="0"/>
        <v>46906.46</v>
      </c>
      <c r="M14" s="2"/>
      <c r="N14" s="19">
        <f t="shared" si="1"/>
        <v>0</v>
      </c>
      <c r="O14" s="11"/>
      <c r="P14" s="2">
        <f>--270889.78</f>
        <v>270889.78000000003</v>
      </c>
      <c r="Q14" s="2"/>
      <c r="R14" s="19"/>
      <c r="S14" s="2"/>
      <c r="T14" s="2">
        <v>0</v>
      </c>
      <c r="U14" s="2"/>
      <c r="V14" s="19"/>
      <c r="W14" s="2"/>
      <c r="X14" s="2">
        <f t="shared" si="2"/>
        <v>270889.78000000003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"4200", " - ", "TAXABLE RETURNS")</f>
        <v xml:space="preserve">          4200 - TAXABLE RETURNS</v>
      </c>
      <c r="C15" s="11"/>
      <c r="D15" s="2">
        <f>-11496.04</f>
        <v>-11496.04</v>
      </c>
      <c r="E15" s="2"/>
      <c r="F15" s="19"/>
      <c r="G15" s="2"/>
      <c r="H15" s="2"/>
      <c r="I15" s="2"/>
      <c r="J15" s="19"/>
      <c r="K15" s="2"/>
      <c r="L15" s="2">
        <f t="shared" si="0"/>
        <v>-11496.04</v>
      </c>
      <c r="M15" s="2"/>
      <c r="N15" s="19">
        <f t="shared" si="1"/>
        <v>0</v>
      </c>
      <c r="O15" s="11"/>
      <c r="P15" s="2">
        <f>-23905.08</f>
        <v>-23905.08</v>
      </c>
      <c r="Q15" s="2"/>
      <c r="R15" s="19"/>
      <c r="S15" s="2"/>
      <c r="T15" s="2"/>
      <c r="U15" s="2"/>
      <c r="V15" s="19"/>
      <c r="W15" s="2"/>
      <c r="X15" s="2">
        <f t="shared" si="2"/>
        <v>-23905.08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"4300", " - ", "NON-TAX RETURNS")</f>
        <v xml:space="preserve">          4300 - NON-TAX RETURNS</v>
      </c>
      <c r="C16" s="11"/>
      <c r="D16" s="2">
        <f>-2374.8</f>
        <v>-2374.8000000000002</v>
      </c>
      <c r="E16" s="2"/>
      <c r="F16" s="19"/>
      <c r="G16" s="2"/>
      <c r="H16" s="2"/>
      <c r="I16" s="2"/>
      <c r="J16" s="19"/>
      <c r="K16" s="2"/>
      <c r="L16" s="2">
        <f t="shared" si="0"/>
        <v>-2374.8000000000002</v>
      </c>
      <c r="M16" s="2"/>
      <c r="N16" s="19">
        <f t="shared" si="1"/>
        <v>0</v>
      </c>
      <c r="O16" s="11"/>
      <c r="P16" s="2">
        <f>-19547.26</f>
        <v>-19547.259999999998</v>
      </c>
      <c r="Q16" s="2"/>
      <c r="R16" s="19"/>
      <c r="S16" s="2"/>
      <c r="T16" s="2"/>
      <c r="U16" s="2"/>
      <c r="V16" s="19"/>
      <c r="W16" s="2"/>
      <c r="X16" s="2">
        <f t="shared" si="2"/>
        <v>-19547.259999999998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257</v>
      </c>
      <c r="C18" s="10"/>
      <c r="D18" s="4">
        <f>SUM(OSRRefD16x_0)</f>
        <v>179347.67000000007</v>
      </c>
      <c r="E18" s="4"/>
      <c r="F18" s="12">
        <f t="shared" ref="F18:F28" si="4">IF(D$12=0,0,D18/D$12)</f>
        <v>1.0147439946149694</v>
      </c>
      <c r="G18" s="4"/>
      <c r="H18" s="4">
        <f>SUM(OSRRefH16x_0)</f>
        <v>270795</v>
      </c>
      <c r="I18" s="4"/>
      <c r="J18" s="12">
        <f t="shared" ref="J18:J28" si="5">IF(H$12=0,0,H18/H$12)</f>
        <v>0.72249955309856106</v>
      </c>
      <c r="K18" s="4"/>
      <c r="L18" s="4">
        <f t="shared" ref="L18:L28" si="6">+D18-H18</f>
        <v>-91447.329999999929</v>
      </c>
      <c r="M18" s="4"/>
      <c r="N18" s="12">
        <f t="shared" ref="N18:N28" si="7">IF(H18=0,0,L18/H18)</f>
        <v>-0.33769947746450241</v>
      </c>
      <c r="O18" s="10"/>
      <c r="P18" s="4">
        <f>SUM(OSRRefP16x_0)</f>
        <v>821540.24</v>
      </c>
      <c r="Q18" s="4"/>
      <c r="R18" s="12">
        <f t="shared" ref="R18:R28" si="8">IF(P$12=0,0,P18/P$12)</f>
        <v>0.84401406412994795</v>
      </c>
      <c r="S18" s="4"/>
      <c r="T18" s="4">
        <f>SUM(OSRRefT16x_0)</f>
        <v>1330028</v>
      </c>
      <c r="U18" s="4"/>
      <c r="V18" s="12">
        <f t="shared" ref="V18:V28" si="9">IF(T$12=0,0,T18/T$12)</f>
        <v>0.72249968764768835</v>
      </c>
      <c r="W18" s="4"/>
      <c r="X18" s="4">
        <f t="shared" ref="X18:X28" si="10">+P18-T18</f>
        <v>-508487.76</v>
      </c>
      <c r="Y18" s="4"/>
      <c r="Z18" s="12">
        <f t="shared" ref="Z18:Z28" si="11">IF(T18=0,0,X18/T18)</f>
        <v>-0.38231357535330085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534505.79</v>
      </c>
      <c r="E19" s="2"/>
      <c r="F19" s="19">
        <f t="shared" si="4"/>
        <v>3.0242184941094012</v>
      </c>
      <c r="G19" s="2"/>
      <c r="H19" s="2">
        <v>270795</v>
      </c>
      <c r="I19" s="2"/>
      <c r="J19" s="19">
        <f t="shared" si="5"/>
        <v>0.72249955309856106</v>
      </c>
      <c r="K19" s="2"/>
      <c r="L19" s="2">
        <f t="shared" si="6"/>
        <v>263710.79000000004</v>
      </c>
      <c r="M19" s="2"/>
      <c r="N19" s="19">
        <f t="shared" si="7"/>
        <v>0.97383921416569741</v>
      </c>
      <c r="O19" s="11"/>
      <c r="P19" s="2">
        <v>1016546.84</v>
      </c>
      <c r="Q19" s="2"/>
      <c r="R19" s="19">
        <f t="shared" si="8"/>
        <v>1.0443552099247821</v>
      </c>
      <c r="S19" s="2"/>
      <c r="T19" s="2">
        <v>1330028</v>
      </c>
      <c r="U19" s="2"/>
      <c r="V19" s="19">
        <f t="shared" si="9"/>
        <v>0.72249968764768835</v>
      </c>
      <c r="W19" s="2"/>
      <c r="X19" s="2">
        <f t="shared" si="10"/>
        <v>-313481.16000000003</v>
      </c>
      <c r="Y19" s="2"/>
      <c r="Z19" s="19">
        <f t="shared" si="11"/>
        <v>-0.23569515829741933</v>
      </c>
    </row>
    <row r="20" spans="1:26" s="24" customFormat="1" hidden="1" outlineLevel="1" x14ac:dyDescent="0.25">
      <c r="A20" s="44"/>
      <c r="B20" s="11" t="str">
        <f>CONCATENATE("          ", "5001", " - ", "PURCHASES @ COST-NEW TEXT")</f>
        <v xml:space="preserve">          5001 - PURCHASES @ COST-NEW TEXT</v>
      </c>
      <c r="C20" s="11"/>
      <c r="D20" s="2">
        <v>0</v>
      </c>
      <c r="E20" s="2"/>
      <c r="F20" s="19">
        <f t="shared" si="4"/>
        <v>0</v>
      </c>
      <c r="G20" s="2"/>
      <c r="H20" s="2"/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>
        <v>0</v>
      </c>
      <c r="Q20" s="2"/>
      <c r="R20" s="19">
        <f t="shared" si="8"/>
        <v>0</v>
      </c>
      <c r="S20" s="2"/>
      <c r="T20" s="2"/>
      <c r="U20" s="2"/>
      <c r="V20" s="19">
        <f t="shared" si="9"/>
        <v>0</v>
      </c>
      <c r="W20" s="2"/>
      <c r="X20" s="2">
        <f t="shared" si="10"/>
        <v>0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"5002", " - ", "PURCHASES @ COST-USED TEXT")</f>
        <v xml:space="preserve">          5002 - PURCHASES @ COST-USED TEXT</v>
      </c>
      <c r="C21" s="11"/>
      <c r="D21" s="2">
        <v>0</v>
      </c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25">
      <c r="A22" s="44"/>
      <c r="B22" s="11" t="str">
        <f>CONCATENATE("          ", "5004", " - ", "PURCHASES @ COST-DIGITAL TEXT")</f>
        <v xml:space="preserve">          5004 - PURCHASES @ COST-DIGITAL TEXT</v>
      </c>
      <c r="C22" s="11"/>
      <c r="D22" s="2">
        <v>0</v>
      </c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"5200", " - ", "PURCHASES OFFSET")</f>
        <v xml:space="preserve">          5200 - PURCHASES OFFSET</v>
      </c>
      <c r="C23" s="11"/>
      <c r="D23" s="2">
        <v>-548708.86</v>
      </c>
      <c r="E23" s="2"/>
      <c r="F23" s="19">
        <f t="shared" si="4"/>
        <v>-3.1045790585237367</v>
      </c>
      <c r="G23" s="2"/>
      <c r="H23" s="2"/>
      <c r="I23" s="2"/>
      <c r="J23" s="19">
        <f t="shared" si="5"/>
        <v>0</v>
      </c>
      <c r="K23" s="2"/>
      <c r="L23" s="2">
        <f t="shared" si="6"/>
        <v>-548708.86</v>
      </c>
      <c r="M23" s="2"/>
      <c r="N23" s="19">
        <f t="shared" si="7"/>
        <v>0</v>
      </c>
      <c r="O23" s="11"/>
      <c r="P23" s="2">
        <v>-1036371.64</v>
      </c>
      <c r="Q23" s="2"/>
      <c r="R23" s="19">
        <f t="shared" si="8"/>
        <v>-1.0647223315870922</v>
      </c>
      <c r="S23" s="2"/>
      <c r="T23" s="2"/>
      <c r="U23" s="2"/>
      <c r="V23" s="19">
        <f t="shared" si="9"/>
        <v>0</v>
      </c>
      <c r="W23" s="2"/>
      <c r="X23" s="2">
        <f t="shared" si="10"/>
        <v>-1036371.64</v>
      </c>
      <c r="Y23" s="2"/>
      <c r="Z23" s="19">
        <f t="shared" si="11"/>
        <v>0</v>
      </c>
    </row>
    <row r="24" spans="1:26" s="24" customFormat="1" hidden="1" outlineLevel="1" x14ac:dyDescent="0.25">
      <c r="A24" s="44"/>
      <c r="B24" s="11" t="str">
        <f>CONCATENATE("          ", "5300", " - ", "COG$ OFFSET")</f>
        <v xml:space="preserve">          5300 - COG$ OFFSET</v>
      </c>
      <c r="C24" s="11"/>
      <c r="D24" s="2">
        <v>179347.67</v>
      </c>
      <c r="E24" s="2"/>
      <c r="F24" s="19">
        <f t="shared" si="4"/>
        <v>1.0147439946149692</v>
      </c>
      <c r="G24" s="2"/>
      <c r="H24" s="2"/>
      <c r="I24" s="2"/>
      <c r="J24" s="19">
        <f t="shared" si="5"/>
        <v>0</v>
      </c>
      <c r="K24" s="2"/>
      <c r="L24" s="2">
        <f t="shared" si="6"/>
        <v>179347.67</v>
      </c>
      <c r="M24" s="2"/>
      <c r="N24" s="19">
        <f t="shared" si="7"/>
        <v>0</v>
      </c>
      <c r="O24" s="11"/>
      <c r="P24" s="2">
        <v>821540.24</v>
      </c>
      <c r="Q24" s="2"/>
      <c r="R24" s="19">
        <f t="shared" si="8"/>
        <v>0.84401406412994795</v>
      </c>
      <c r="S24" s="2"/>
      <c r="T24" s="2"/>
      <c r="U24" s="2"/>
      <c r="V24" s="19">
        <f t="shared" si="9"/>
        <v>0</v>
      </c>
      <c r="W24" s="2"/>
      <c r="X24" s="2">
        <f t="shared" si="10"/>
        <v>821540.24</v>
      </c>
      <c r="Y24" s="2"/>
      <c r="Z24" s="19">
        <f t="shared" si="11"/>
        <v>0</v>
      </c>
    </row>
    <row r="25" spans="1:26" s="24" customFormat="1" hidden="1" outlineLevel="1" x14ac:dyDescent="0.25">
      <c r="A25" s="44"/>
      <c r="B25" s="11" t="str">
        <f>CONCATENATE("          ", "5500", " - ", "FREIGHT-IN")</f>
        <v xml:space="preserve">          5500 - FREIGHT-IN</v>
      </c>
      <c r="C25" s="11"/>
      <c r="D25" s="2">
        <v>14203.07</v>
      </c>
      <c r="E25" s="2"/>
      <c r="F25" s="19">
        <f t="shared" si="4"/>
        <v>8.0360564414335728E-2</v>
      </c>
      <c r="G25" s="2"/>
      <c r="H25" s="2"/>
      <c r="I25" s="2"/>
      <c r="J25" s="19">
        <f t="shared" si="5"/>
        <v>0</v>
      </c>
      <c r="K25" s="2"/>
      <c r="L25" s="2">
        <f t="shared" si="6"/>
        <v>14203.07</v>
      </c>
      <c r="M25" s="2"/>
      <c r="N25" s="19">
        <f t="shared" si="7"/>
        <v>0</v>
      </c>
      <c r="O25" s="11"/>
      <c r="P25" s="2">
        <v>19824.8</v>
      </c>
      <c r="Q25" s="2"/>
      <c r="R25" s="19">
        <f t="shared" si="8"/>
        <v>2.0367121662310042E-2</v>
      </c>
      <c r="S25" s="2"/>
      <c r="T25" s="2"/>
      <c r="U25" s="2"/>
      <c r="V25" s="19">
        <f t="shared" si="9"/>
        <v>0</v>
      </c>
      <c r="W25" s="2"/>
      <c r="X25" s="2">
        <f t="shared" si="10"/>
        <v>19824.8</v>
      </c>
      <c r="Y25" s="2"/>
      <c r="Z25" s="19">
        <f t="shared" si="11"/>
        <v>0</v>
      </c>
    </row>
    <row r="26" spans="1:26" s="24" customFormat="1" hidden="1" outlineLevel="1" x14ac:dyDescent="0.25">
      <c r="A26" s="44"/>
      <c r="B26" s="11" t="str">
        <f>CONCATENATE("          ", "5501", " - ", "FREIGHT-IN-NEW TEXT")</f>
        <v xml:space="preserve">          5501 - FREIGHT-IN-NEW TEXT</v>
      </c>
      <c r="C26" s="11"/>
      <c r="D26" s="2">
        <v>0</v>
      </c>
      <c r="E26" s="2"/>
      <c r="F26" s="19">
        <f t="shared" si="4"/>
        <v>0</v>
      </c>
      <c r="G26" s="2"/>
      <c r="H26" s="2"/>
      <c r="I26" s="2"/>
      <c r="J26" s="19">
        <f t="shared" si="5"/>
        <v>0</v>
      </c>
      <c r="K26" s="2"/>
      <c r="L26" s="2">
        <f t="shared" si="6"/>
        <v>0</v>
      </c>
      <c r="M26" s="2"/>
      <c r="N26" s="19">
        <f t="shared" si="7"/>
        <v>0</v>
      </c>
      <c r="O26" s="11"/>
      <c r="P26" s="2">
        <v>0</v>
      </c>
      <c r="Q26" s="2"/>
      <c r="R26" s="19">
        <f t="shared" si="8"/>
        <v>0</v>
      </c>
      <c r="S26" s="2"/>
      <c r="T26" s="2"/>
      <c r="U26" s="2"/>
      <c r="V26" s="19">
        <f t="shared" si="9"/>
        <v>0</v>
      </c>
      <c r="W26" s="2"/>
      <c r="X26" s="2">
        <f t="shared" si="10"/>
        <v>0</v>
      </c>
      <c r="Y26" s="2"/>
      <c r="Z26" s="19">
        <f t="shared" si="11"/>
        <v>0</v>
      </c>
    </row>
    <row r="27" spans="1:26" s="24" customFormat="1" hidden="1" outlineLevel="1" x14ac:dyDescent="0.25">
      <c r="A27" s="44"/>
      <c r="B27" s="11" t="str">
        <f>CONCATENATE("          ", "5502", " - ", "FREIGHT-IN-USED TEXT")</f>
        <v xml:space="preserve">          5502 - FREIGHT-IN-USED TEXT</v>
      </c>
      <c r="C27" s="11"/>
      <c r="D27" s="2">
        <v>0</v>
      </c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25">
      <c r="A28" s="44"/>
      <c r="B28" s="11" t="str">
        <f>CONCATENATE("          ", "5518", " - ", "FREIGHT-IN-STUDY GUIDES")</f>
        <v xml:space="preserve">          5518 - FREIGHT-IN-STUDY GUIDES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5" t="s">
        <v>108</v>
      </c>
      <c r="C30" s="25"/>
      <c r="D30" s="21">
        <f>D12-D18</f>
        <v>-2605.8800000000629</v>
      </c>
      <c r="E30" s="13"/>
      <c r="F30" s="20">
        <f>IF(D$12=0,0,D30/D$12)</f>
        <v>-1.4743994614969457E-2</v>
      </c>
      <c r="G30" s="13"/>
      <c r="H30" s="21">
        <f>H12-H18</f>
        <v>104008</v>
      </c>
      <c r="I30" s="13"/>
      <c r="J30" s="20">
        <f>IF(H$12=0,0,H30/H$12)</f>
        <v>0.27750044690143888</v>
      </c>
      <c r="K30" s="16"/>
      <c r="L30" s="21">
        <f>+D30-H30</f>
        <v>-106613.88000000006</v>
      </c>
      <c r="M30" s="16"/>
      <c r="N30" s="20">
        <f>IF(H30=0,0,L30/H30)</f>
        <v>-1.0250546111837557</v>
      </c>
      <c r="O30" s="26"/>
      <c r="P30" s="21">
        <f>P12-P18</f>
        <v>151832.45000000007</v>
      </c>
      <c r="Q30" s="13"/>
      <c r="R30" s="20">
        <f>IF(P$12=0,0,P30/P$12)</f>
        <v>0.15598593587005205</v>
      </c>
      <c r="S30" s="13"/>
      <c r="T30" s="21">
        <f>T12-T18</f>
        <v>510842</v>
      </c>
      <c r="U30" s="13"/>
      <c r="V30" s="20">
        <f>IF(T$12=0,0,T30/T$12)</f>
        <v>0.27750031235231165</v>
      </c>
      <c r="W30" s="16"/>
      <c r="X30" s="21">
        <f>+P30-T30</f>
        <v>-359009.54999999993</v>
      </c>
      <c r="Y30" s="16"/>
      <c r="Z30" s="20">
        <f>IF(T30=0,0,X30/T30)</f>
        <v>-0.70278001808778434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6" t="s">
        <v>295</v>
      </c>
      <c r="C32" s="10"/>
      <c r="D32" s="22">
        <f>SUM(OSRRefD22x_0)</f>
        <v>42592.3</v>
      </c>
      <c r="E32" s="22"/>
      <c r="F32" s="32">
        <f t="shared" ref="F32:F43" si="12">IF(D$12=0,0,D32/D$12)</f>
        <v>0.24098601694596394</v>
      </c>
      <c r="G32" s="22"/>
      <c r="H32" s="22">
        <f>SUM(OSRRefH22x_0)</f>
        <v>51255.626738989718</v>
      </c>
      <c r="I32" s="22"/>
      <c r="J32" s="32">
        <f t="shared" ref="J32:J43" si="13">IF(H$12=0,0,H32/H$12)</f>
        <v>0.13675351248253007</v>
      </c>
      <c r="K32" s="4"/>
      <c r="L32" s="22">
        <f t="shared" ref="L32:L43" si="14">+D32-H32</f>
        <v>-8663.3267389897155</v>
      </c>
      <c r="M32" s="4"/>
      <c r="N32" s="32">
        <f t="shared" ref="N32:N43" si="15">IF(H32=0,0,L32/H32)</f>
        <v>-0.16902196480995513</v>
      </c>
      <c r="O32" s="10"/>
      <c r="P32" s="22">
        <f>SUM(OSRRefP22x_0)</f>
        <v>144893.85000000003</v>
      </c>
      <c r="Q32" s="22"/>
      <c r="R32" s="32">
        <f t="shared" ref="R32:R43" si="16">IF(P$12=0,0,P32/P$12)</f>
        <v>0.14885752547670103</v>
      </c>
      <c r="S32" s="22"/>
      <c r="T32" s="22">
        <f>SUM(OSRRefT22x_0)</f>
        <v>170833.50284671661</v>
      </c>
      <c r="U32" s="22"/>
      <c r="V32" s="32">
        <f t="shared" ref="V32:V43" si="17">IF(T$12=0,0,T32/T$12)</f>
        <v>9.2800416567555888E-2</v>
      </c>
      <c r="W32" s="4"/>
      <c r="X32" s="22">
        <f t="shared" ref="X32:X43" si="18">+P32-T32</f>
        <v>-25939.652846716577</v>
      </c>
      <c r="Y32" s="4"/>
      <c r="Z32" s="32">
        <f t="shared" ref="Z32:Z43" si="19">IF(T32=0,0,X32/T32)</f>
        <v>-0.15184171965373439</v>
      </c>
    </row>
    <row r="33" spans="1:26" s="28" customFormat="1" outlineLevel="1" collapsed="1" x14ac:dyDescent="0.25">
      <c r="A33" s="27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SUM(OSRRefD22_0x_0)</f>
        <v>11720.22</v>
      </c>
      <c r="E33" s="1"/>
      <c r="F33" s="5">
        <f t="shared" si="12"/>
        <v>6.6312670025577988E-2</v>
      </c>
      <c r="G33" s="1"/>
      <c r="H33" s="1">
        <f>SUM(OSRRefH22_0x_0)</f>
        <v>13830.343193735916</v>
      </c>
      <c r="I33" s="1"/>
      <c r="J33" s="5">
        <f t="shared" si="13"/>
        <v>3.690030014096983E-2</v>
      </c>
      <c r="K33" s="1"/>
      <c r="L33" s="1">
        <f t="shared" si="14"/>
        <v>-2110.1231937359171</v>
      </c>
      <c r="M33" s="1"/>
      <c r="N33" s="5">
        <f t="shared" si="15"/>
        <v>-0.15257200520458819</v>
      </c>
      <c r="O33" s="14"/>
      <c r="P33" s="1">
        <f>SUM(OSRRefP22_0x_0)</f>
        <v>36222.46</v>
      </c>
      <c r="Q33" s="1"/>
      <c r="R33" s="5">
        <f t="shared" si="16"/>
        <v>3.7213351445066739E-2</v>
      </c>
      <c r="S33" s="1"/>
      <c r="T33" s="1">
        <f>SUM(OSRRefT22_0x_0)</f>
        <v>44876.081324641724</v>
      </c>
      <c r="U33" s="1"/>
      <c r="V33" s="5">
        <f t="shared" si="17"/>
        <v>2.4377648244928607E-2</v>
      </c>
      <c r="W33" s="1"/>
      <c r="X33" s="1">
        <f t="shared" si="18"/>
        <v>-8653.6213246417246</v>
      </c>
      <c r="Y33" s="1"/>
      <c r="Z33" s="5">
        <f t="shared" si="19"/>
        <v>-0.19283371161665958</v>
      </c>
    </row>
    <row r="34" spans="1:26" s="24" customFormat="1" hidden="1" outlineLevel="2" x14ac:dyDescent="0.25">
      <c r="A34" s="29"/>
      <c r="B34" s="11" t="str">
        <f>CONCATENATE("          ", "6111", " - ", "F.I.C.A.")</f>
        <v xml:space="preserve">          6111 - F.I.C.A.</v>
      </c>
      <c r="C34" s="11"/>
      <c r="D34" s="7">
        <v>1747.21</v>
      </c>
      <c r="E34" s="2"/>
      <c r="F34" s="6">
        <f t="shared" si="12"/>
        <v>9.8856642789461394E-3</v>
      </c>
      <c r="G34" s="2"/>
      <c r="H34" s="7">
        <v>1967.82450197977</v>
      </c>
      <c r="I34" s="2"/>
      <c r="J34" s="6">
        <f t="shared" si="13"/>
        <v>5.2502901577089036E-3</v>
      </c>
      <c r="K34" s="2"/>
      <c r="L34" s="7">
        <f t="shared" si="14"/>
        <v>-220.61450197977001</v>
      </c>
      <c r="M34" s="2"/>
      <c r="N34" s="6">
        <f t="shared" si="15"/>
        <v>-0.1121108624055734</v>
      </c>
      <c r="O34" s="11"/>
      <c r="P34" s="7">
        <v>6411.52</v>
      </c>
      <c r="Q34" s="2"/>
      <c r="R34" s="6">
        <f t="shared" si="16"/>
        <v>6.586911740866697E-3</v>
      </c>
      <c r="S34" s="2"/>
      <c r="T34" s="7">
        <v>7419.7071514342497</v>
      </c>
      <c r="U34" s="2"/>
      <c r="V34" s="6">
        <f t="shared" si="17"/>
        <v>4.0305437925732121E-3</v>
      </c>
      <c r="W34" s="2"/>
      <c r="X34" s="7">
        <f t="shared" si="18"/>
        <v>-1008.1871514342492</v>
      </c>
      <c r="Y34" s="2"/>
      <c r="Z34" s="6">
        <f t="shared" si="19"/>
        <v>-0.13587964199360131</v>
      </c>
    </row>
    <row r="35" spans="1:26" s="24" customFormat="1" hidden="1" outlineLevel="2" x14ac:dyDescent="0.25">
      <c r="A35" s="29"/>
      <c r="B35" s="11" t="str">
        <f>CONCATENATE("          ", "6112", " - ", "COMPENSATION INSURANCE")</f>
        <v xml:space="preserve">          6112 - COMPENSATION INSURANCE</v>
      </c>
      <c r="C35" s="11"/>
      <c r="D35" s="7">
        <v>465.54</v>
      </c>
      <c r="E35" s="2"/>
      <c r="F35" s="6">
        <f t="shared" si="12"/>
        <v>2.6340120239814252E-3</v>
      </c>
      <c r="G35" s="2"/>
      <c r="H35" s="7">
        <v>566.84335548000001</v>
      </c>
      <c r="I35" s="2"/>
      <c r="J35" s="6">
        <f t="shared" si="13"/>
        <v>1.5123767832167833E-3</v>
      </c>
      <c r="K35" s="2"/>
      <c r="L35" s="7">
        <f t="shared" si="14"/>
        <v>-101.30335547999999</v>
      </c>
      <c r="M35" s="2"/>
      <c r="N35" s="6">
        <f t="shared" si="15"/>
        <v>-0.17871490333377346</v>
      </c>
      <c r="O35" s="11"/>
      <c r="P35" s="7">
        <v>1319.1</v>
      </c>
      <c r="Q35" s="2"/>
      <c r="R35" s="6">
        <f t="shared" si="16"/>
        <v>1.3551849292176052E-3</v>
      </c>
      <c r="S35" s="2"/>
      <c r="T35" s="7">
        <v>1903.7868053100001</v>
      </c>
      <c r="U35" s="2"/>
      <c r="V35" s="6">
        <f t="shared" si="17"/>
        <v>1.0341777557948144E-3</v>
      </c>
      <c r="W35" s="2"/>
      <c r="X35" s="7">
        <f t="shared" si="18"/>
        <v>-584.68680531000018</v>
      </c>
      <c r="Y35" s="2"/>
      <c r="Z35" s="6">
        <f t="shared" si="19"/>
        <v>-0.30711779474424589</v>
      </c>
    </row>
    <row r="36" spans="1:26" s="24" customFormat="1" hidden="1" outlineLevel="2" x14ac:dyDescent="0.25">
      <c r="A36" s="29"/>
      <c r="B36" s="11" t="str">
        <f>CONCATENATE("          ", "6113", " - ", "GROUP INSURANCE")</f>
        <v xml:space="preserve">          6113 - GROUP INSURANCE</v>
      </c>
      <c r="C36" s="11"/>
      <c r="D36" s="7">
        <v>4650.1099999999997</v>
      </c>
      <c r="E36" s="2"/>
      <c r="F36" s="6">
        <f t="shared" si="12"/>
        <v>2.6310189570898878E-2</v>
      </c>
      <c r="G36" s="2"/>
      <c r="H36" s="7">
        <v>5314</v>
      </c>
      <c r="I36" s="2"/>
      <c r="J36" s="6">
        <f t="shared" si="13"/>
        <v>1.4178114903029058E-2</v>
      </c>
      <c r="K36" s="2"/>
      <c r="L36" s="7">
        <f t="shared" si="14"/>
        <v>-663.89000000000033</v>
      </c>
      <c r="M36" s="2"/>
      <c r="N36" s="6">
        <f t="shared" si="15"/>
        <v>-0.12493225442228083</v>
      </c>
      <c r="O36" s="11"/>
      <c r="P36" s="7">
        <v>13837.83</v>
      </c>
      <c r="Q36" s="2"/>
      <c r="R36" s="6">
        <f t="shared" si="16"/>
        <v>1.4216373792036429E-2</v>
      </c>
      <c r="S36" s="2"/>
      <c r="T36" s="7">
        <v>16248</v>
      </c>
      <c r="U36" s="2"/>
      <c r="V36" s="6">
        <f t="shared" si="17"/>
        <v>8.8262614959231239E-3</v>
      </c>
      <c r="W36" s="2"/>
      <c r="X36" s="7">
        <f t="shared" si="18"/>
        <v>-2410.17</v>
      </c>
      <c r="Y36" s="2"/>
      <c r="Z36" s="6">
        <f t="shared" si="19"/>
        <v>-0.1483364106351551</v>
      </c>
    </row>
    <row r="37" spans="1:26" s="24" customFormat="1" hidden="1" outlineLevel="2" x14ac:dyDescent="0.25">
      <c r="A37" s="29"/>
      <c r="B37" s="11" t="str">
        <f>CONCATENATE("          ", "6114", " - ", "STATE UNEMPLOYMENT INSURANCE")</f>
        <v xml:space="preserve">          6114 - STATE UNEMPLOYMENT INSURANCE</v>
      </c>
      <c r="C37" s="11"/>
      <c r="D37" s="7">
        <v>92.82</v>
      </c>
      <c r="E37" s="2"/>
      <c r="F37" s="6">
        <f t="shared" si="12"/>
        <v>5.2517290902168634E-4</v>
      </c>
      <c r="G37" s="2"/>
      <c r="H37" s="7">
        <v>76.305836314615405</v>
      </c>
      <c r="I37" s="2"/>
      <c r="J37" s="6">
        <f t="shared" si="13"/>
        <v>2.0358918235610548E-4</v>
      </c>
      <c r="K37" s="2"/>
      <c r="L37" s="7">
        <f t="shared" si="14"/>
        <v>16.514163685384588</v>
      </c>
      <c r="M37" s="2"/>
      <c r="N37" s="6">
        <f t="shared" si="15"/>
        <v>0.21642071541284597</v>
      </c>
      <c r="O37" s="11"/>
      <c r="P37" s="7">
        <v>261.45</v>
      </c>
      <c r="Q37" s="2"/>
      <c r="R37" s="6">
        <f t="shared" si="16"/>
        <v>2.6860215278897949E-4</v>
      </c>
      <c r="S37" s="2"/>
      <c r="T37" s="7">
        <v>256.2789930225</v>
      </c>
      <c r="U37" s="2"/>
      <c r="V37" s="6">
        <f t="shared" si="17"/>
        <v>1.3921623635699426E-4</v>
      </c>
      <c r="W37" s="2"/>
      <c r="X37" s="7">
        <f t="shared" si="18"/>
        <v>5.1710069774999852</v>
      </c>
      <c r="Y37" s="2"/>
      <c r="Z37" s="6">
        <f t="shared" si="19"/>
        <v>2.0177256498920288E-2</v>
      </c>
    </row>
    <row r="38" spans="1:26" s="24" customFormat="1" hidden="1" outlineLevel="2" x14ac:dyDescent="0.25">
      <c r="A38" s="29"/>
      <c r="B38" s="11" t="str">
        <f>CONCATENATE("          ", "6115", " - ", "P.E.R.S.")</f>
        <v xml:space="preserve">          6115 - P.E.R.S.</v>
      </c>
      <c r="C38" s="11"/>
      <c r="D38" s="7">
        <v>1607.1</v>
      </c>
      <c r="E38" s="2"/>
      <c r="F38" s="6">
        <f t="shared" si="12"/>
        <v>9.0929259005467795E-3</v>
      </c>
      <c r="G38" s="2"/>
      <c r="H38" s="7">
        <v>1664.68278164615</v>
      </c>
      <c r="I38" s="2"/>
      <c r="J38" s="6">
        <f t="shared" si="13"/>
        <v>4.4414873457420297E-3</v>
      </c>
      <c r="K38" s="2"/>
      <c r="L38" s="7">
        <f t="shared" si="14"/>
        <v>-57.582781646150124</v>
      </c>
      <c r="M38" s="2"/>
      <c r="N38" s="6">
        <f t="shared" si="15"/>
        <v>-3.4590843541499487E-2</v>
      </c>
      <c r="O38" s="11"/>
      <c r="P38" s="7">
        <v>4821.3</v>
      </c>
      <c r="Q38" s="2"/>
      <c r="R38" s="6">
        <f t="shared" si="16"/>
        <v>4.9531901290552956E-3</v>
      </c>
      <c r="S38" s="2"/>
      <c r="T38" s="7">
        <v>5410.2190403499899</v>
      </c>
      <c r="U38" s="2"/>
      <c r="V38" s="6">
        <f t="shared" si="17"/>
        <v>2.9389468242461388E-3</v>
      </c>
      <c r="W38" s="2"/>
      <c r="X38" s="7">
        <f t="shared" si="18"/>
        <v>-588.9190403499897</v>
      </c>
      <c r="Y38" s="2"/>
      <c r="Z38" s="6">
        <f t="shared" si="19"/>
        <v>-0.10885308634599981</v>
      </c>
    </row>
    <row r="39" spans="1:26" s="24" customFormat="1" hidden="1" outlineLevel="2" x14ac:dyDescent="0.25">
      <c r="A39" s="29"/>
      <c r="B39" s="11" t="str">
        <f>CONCATENATE("          ", "6116", " - ", "EDUCATIONAL BENEFITS")</f>
        <v xml:space="preserve">          6116 - EDUCATIONAL BENEFITS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9"/>
      <c r="B40" s="11" t="str">
        <f>CONCATENATE("          ", "6117", " - ", "RETIREMENT STAFF HOURLY")</f>
        <v xml:space="preserve">          6117 - RETIREMENT STAFF HOURLY</v>
      </c>
      <c r="C40" s="11"/>
      <c r="D40" s="7">
        <v>190.96</v>
      </c>
      <c r="E40" s="2"/>
      <c r="F40" s="6">
        <f t="shared" si="12"/>
        <v>1.0804462261019309E-3</v>
      </c>
      <c r="G40" s="2"/>
      <c r="H40" s="7"/>
      <c r="I40" s="2"/>
      <c r="J40" s="6">
        <f t="shared" si="13"/>
        <v>0</v>
      </c>
      <c r="K40" s="2"/>
      <c r="L40" s="7">
        <f t="shared" si="14"/>
        <v>190.96</v>
      </c>
      <c r="M40" s="2"/>
      <c r="N40" s="6">
        <f t="shared" si="15"/>
        <v>0</v>
      </c>
      <c r="O40" s="11"/>
      <c r="P40" s="7">
        <v>976.89</v>
      </c>
      <c r="Q40" s="2"/>
      <c r="R40" s="6">
        <f t="shared" si="16"/>
        <v>1.003613528544755E-3</v>
      </c>
      <c r="S40" s="2"/>
      <c r="T40" s="7"/>
      <c r="U40" s="2"/>
      <c r="V40" s="6">
        <f t="shared" si="17"/>
        <v>0</v>
      </c>
      <c r="W40" s="2"/>
      <c r="X40" s="7">
        <f t="shared" si="18"/>
        <v>976.89</v>
      </c>
      <c r="Y40" s="2"/>
      <c r="Z40" s="6">
        <f t="shared" si="19"/>
        <v>0</v>
      </c>
    </row>
    <row r="41" spans="1:26" s="24" customFormat="1" hidden="1" outlineLevel="2" x14ac:dyDescent="0.25">
      <c r="A41" s="29"/>
      <c r="B41" s="11" t="str">
        <f>CONCATENATE("          ", "6118", " - ", "VACATION")</f>
        <v xml:space="preserve">          6118 - VACATION</v>
      </c>
      <c r="C41" s="11"/>
      <c r="D41" s="7">
        <v>1143.8800000000001</v>
      </c>
      <c r="E41" s="2"/>
      <c r="F41" s="6">
        <f t="shared" si="12"/>
        <v>6.4720403703051781E-3</v>
      </c>
      <c r="G41" s="2"/>
      <c r="H41" s="7">
        <v>1689.1935418999999</v>
      </c>
      <c r="I41" s="2"/>
      <c r="J41" s="6">
        <f t="shared" si="13"/>
        <v>4.5068837279851016E-3</v>
      </c>
      <c r="K41" s="2"/>
      <c r="L41" s="7">
        <f t="shared" si="14"/>
        <v>-545.31354189999979</v>
      </c>
      <c r="M41" s="2"/>
      <c r="N41" s="6">
        <f t="shared" si="15"/>
        <v>-0.32282478494834449</v>
      </c>
      <c r="O41" s="11"/>
      <c r="P41" s="7">
        <v>3808.77</v>
      </c>
      <c r="Q41" s="2"/>
      <c r="R41" s="6">
        <f t="shared" si="16"/>
        <v>3.9129616426776875E-3</v>
      </c>
      <c r="S41" s="2"/>
      <c r="T41" s="7">
        <v>5489.8790111750004</v>
      </c>
      <c r="U41" s="2"/>
      <c r="V41" s="6">
        <f t="shared" si="17"/>
        <v>2.9822198260469235E-3</v>
      </c>
      <c r="W41" s="2"/>
      <c r="X41" s="7">
        <f t="shared" si="18"/>
        <v>-1681.1090111750004</v>
      </c>
      <c r="Y41" s="2"/>
      <c r="Z41" s="6">
        <f t="shared" si="19"/>
        <v>-0.30621968312106612</v>
      </c>
    </row>
    <row r="42" spans="1:26" s="24" customFormat="1" hidden="1" outlineLevel="2" x14ac:dyDescent="0.25">
      <c r="A42" s="29"/>
      <c r="B42" s="11" t="str">
        <f>CONCATENATE("          ", "6119", " - ", "SICK LEAVE")</f>
        <v xml:space="preserve">          6119 - SICK LEAVE</v>
      </c>
      <c r="C42" s="11"/>
      <c r="D42" s="7">
        <v>1071.9000000000001</v>
      </c>
      <c r="E42" s="2"/>
      <c r="F42" s="6">
        <f t="shared" si="12"/>
        <v>6.0647795860843097E-3</v>
      </c>
      <c r="G42" s="2"/>
      <c r="H42" s="7">
        <v>1501.49317641538</v>
      </c>
      <c r="I42" s="2"/>
      <c r="J42" s="6">
        <f t="shared" si="13"/>
        <v>4.0060863344620508E-3</v>
      </c>
      <c r="K42" s="2"/>
      <c r="L42" s="7">
        <f t="shared" si="14"/>
        <v>-429.59317641537996</v>
      </c>
      <c r="M42" s="2"/>
      <c r="N42" s="6">
        <f t="shared" si="15"/>
        <v>-0.28611064183520157</v>
      </c>
      <c r="O42" s="11"/>
      <c r="P42" s="7">
        <v>3215.7</v>
      </c>
      <c r="Q42" s="2"/>
      <c r="R42" s="6">
        <f t="shared" si="16"/>
        <v>3.3036677862823536E-3</v>
      </c>
      <c r="S42" s="2"/>
      <c r="T42" s="7">
        <v>4998.2103233499902</v>
      </c>
      <c r="U42" s="2"/>
      <c r="V42" s="6">
        <f t="shared" si="17"/>
        <v>2.7151348673996479E-3</v>
      </c>
      <c r="W42" s="2"/>
      <c r="X42" s="7">
        <f t="shared" si="18"/>
        <v>-1782.5103233499904</v>
      </c>
      <c r="Y42" s="2"/>
      <c r="Z42" s="6">
        <f t="shared" si="19"/>
        <v>-0.35662971504474111</v>
      </c>
    </row>
    <row r="43" spans="1:26" s="24" customFormat="1" hidden="1" outlineLevel="2" x14ac:dyDescent="0.25">
      <c r="A43" s="29"/>
      <c r="B43" s="11" t="str">
        <f>CONCATENATE("          ", "6156", " - ", "EMPLOYEE MEALS")</f>
        <v xml:space="preserve">          6156 - EMPLOYEE MEALS</v>
      </c>
      <c r="C43" s="11"/>
      <c r="D43" s="7">
        <v>750.7</v>
      </c>
      <c r="E43" s="2"/>
      <c r="F43" s="6">
        <f t="shared" si="12"/>
        <v>4.2474391596916614E-3</v>
      </c>
      <c r="G43" s="2"/>
      <c r="H43" s="7">
        <v>1050</v>
      </c>
      <c r="I43" s="2"/>
      <c r="J43" s="6">
        <f t="shared" si="13"/>
        <v>2.8014717064697987E-3</v>
      </c>
      <c r="K43" s="2"/>
      <c r="L43" s="7">
        <f t="shared" si="14"/>
        <v>-299.29999999999995</v>
      </c>
      <c r="M43" s="2"/>
      <c r="N43" s="6">
        <f t="shared" si="15"/>
        <v>-0.28504761904761899</v>
      </c>
      <c r="O43" s="11"/>
      <c r="P43" s="7">
        <v>1569.9</v>
      </c>
      <c r="Q43" s="2"/>
      <c r="R43" s="6">
        <f t="shared" si="16"/>
        <v>1.6128457435969361E-3</v>
      </c>
      <c r="S43" s="2"/>
      <c r="T43" s="7">
        <v>3150</v>
      </c>
      <c r="U43" s="2"/>
      <c r="V43" s="6">
        <f t="shared" si="17"/>
        <v>1.7111474465877547E-3</v>
      </c>
      <c r="W43" s="2"/>
      <c r="X43" s="7">
        <f t="shared" si="18"/>
        <v>-1580.1</v>
      </c>
      <c r="Y43" s="2"/>
      <c r="Z43" s="6">
        <f t="shared" si="19"/>
        <v>-0.50161904761904763</v>
      </c>
    </row>
    <row r="44" spans="1:26" s="28" customFormat="1" outlineLevel="1" collapsed="1" x14ac:dyDescent="0.25">
      <c r="A44" s="27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SUM(OSRRefD22_1x_0)</f>
        <v>29190.14</v>
      </c>
      <c r="E44" s="1"/>
      <c r="F44" s="5">
        <f t="shared" ref="F44:F54" si="20">IF(D$12=0,0,D44/D$12)</f>
        <v>0.16515697843730109</v>
      </c>
      <c r="G44" s="1"/>
      <c r="H44" s="1">
        <f>SUM(OSRRefH22_1x_0)</f>
        <v>33845.283545253798</v>
      </c>
      <c r="I44" s="1"/>
      <c r="J44" s="5">
        <f t="shared" ref="J44:J54" si="21">IF(H$12=0,0,H44/H$12)</f>
        <v>9.0301527856644151E-2</v>
      </c>
      <c r="K44" s="1"/>
      <c r="L44" s="1">
        <f t="shared" ref="L44:L54" si="22">+D44-H44</f>
        <v>-4655.1435452537989</v>
      </c>
      <c r="M44" s="1"/>
      <c r="N44" s="5">
        <f t="shared" ref="N44:N54" si="23">IF(H44=0,0,L44/H44)</f>
        <v>-0.13754186869285662</v>
      </c>
      <c r="O44" s="14"/>
      <c r="P44" s="1">
        <f>SUM(OSRRefP22_1x_0)</f>
        <v>99371.32</v>
      </c>
      <c r="Q44" s="1"/>
      <c r="R44" s="5">
        <f t="shared" ref="R44:R54" si="24">IF(P$12=0,0,P44/P$12)</f>
        <v>0.10208969392802668</v>
      </c>
      <c r="S44" s="1"/>
      <c r="T44" s="1">
        <f>SUM(OSRRefT22_1x_0)</f>
        <v>113942.4215220749</v>
      </c>
      <c r="U44" s="1"/>
      <c r="V44" s="5">
        <f t="shared" ref="V44:V54" si="25">IF(T$12=0,0,T44/T$12)</f>
        <v>6.1895963062071145E-2</v>
      </c>
      <c r="W44" s="1"/>
      <c r="X44" s="1">
        <f t="shared" ref="X44:X54" si="26">+P44-T44</f>
        <v>-14571.101522074896</v>
      </c>
      <c r="Y44" s="1"/>
      <c r="Z44" s="5">
        <f t="shared" ref="Z44:Z54" si="27">IF(T44=0,0,X44/T44)</f>
        <v>-0.12788126956957754</v>
      </c>
    </row>
    <row r="45" spans="1:26" s="24" customFormat="1" hidden="1" outlineLevel="2" x14ac:dyDescent="0.25">
      <c r="A45" s="29"/>
      <c r="B45" s="11" t="str">
        <f>CONCATENATE("          ", "6001", " - ", "ADMINISTRATIVE SALARIES")</f>
        <v xml:space="preserve">          6001 - ADMINISTRATIVE SALARIES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9"/>
      <c r="B46" s="11" t="str">
        <f>CONCATENATE("          ", "6002", " - ", "STAFF SALARIES")</f>
        <v xml:space="preserve">          6002 - STAFF SALARIES</v>
      </c>
      <c r="C46" s="11"/>
      <c r="D46" s="7">
        <v>16350.77</v>
      </c>
      <c r="E46" s="2"/>
      <c r="F46" s="6">
        <f t="shared" si="20"/>
        <v>9.2512189675118706E-2</v>
      </c>
      <c r="G46" s="2"/>
      <c r="H46" s="7">
        <v>17293.700777253802</v>
      </c>
      <c r="I46" s="2"/>
      <c r="J46" s="6">
        <f t="shared" si="21"/>
        <v>4.6140774692982188E-2</v>
      </c>
      <c r="K46" s="2"/>
      <c r="L46" s="7">
        <f t="shared" si="22"/>
        <v>-942.93077725380135</v>
      </c>
      <c r="M46" s="2"/>
      <c r="N46" s="6">
        <f t="shared" si="23"/>
        <v>-5.4524522506716834E-2</v>
      </c>
      <c r="O46" s="11"/>
      <c r="P46" s="7">
        <v>53100.78</v>
      </c>
      <c r="Q46" s="2"/>
      <c r="R46" s="6">
        <f t="shared" si="24"/>
        <v>5.455339002782171E-2</v>
      </c>
      <c r="S46" s="2"/>
      <c r="T46" s="7">
        <v>56204.527526074897</v>
      </c>
      <c r="U46" s="2"/>
      <c r="V46" s="6">
        <f t="shared" si="25"/>
        <v>3.0531502781877533E-2</v>
      </c>
      <c r="W46" s="2"/>
      <c r="X46" s="7">
        <f t="shared" si="26"/>
        <v>-3103.7475260748979</v>
      </c>
      <c r="Y46" s="2"/>
      <c r="Z46" s="6">
        <f t="shared" si="27"/>
        <v>-5.5222375539674809E-2</v>
      </c>
    </row>
    <row r="47" spans="1:26" s="24" customFormat="1" hidden="1" outlineLevel="2" x14ac:dyDescent="0.25">
      <c r="A47" s="29"/>
      <c r="B47" s="11" t="str">
        <f>CONCATENATE("          ", "6003", " - ", "STAFF HOURLY-9 MONTH")</f>
        <v xml:space="preserve">          6003 - STAFF HOURLY-9 MONTH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4" customFormat="1" hidden="1" outlineLevel="2" x14ac:dyDescent="0.25">
      <c r="A48" s="29"/>
      <c r="B48" s="11" t="str">
        <f>CONCATENATE("          ", "6004", " - ", "STAFF HOURLY")</f>
        <v xml:space="preserve">          6004 - STAFF HOURLY</v>
      </c>
      <c r="C48" s="11"/>
      <c r="D48" s="7">
        <v>4924.04</v>
      </c>
      <c r="E48" s="2"/>
      <c r="F48" s="6">
        <f t="shared" si="20"/>
        <v>2.7860077687342645E-2</v>
      </c>
      <c r="G48" s="2"/>
      <c r="H48" s="7">
        <v>5928.5827680000002</v>
      </c>
      <c r="I48" s="2"/>
      <c r="J48" s="6">
        <f t="shared" si="21"/>
        <v>1.5817863699063243E-2</v>
      </c>
      <c r="K48" s="2"/>
      <c r="L48" s="7">
        <f t="shared" si="22"/>
        <v>-1004.5427680000003</v>
      </c>
      <c r="M48" s="2"/>
      <c r="N48" s="6">
        <f t="shared" si="23"/>
        <v>-0.16944062473448127</v>
      </c>
      <c r="O48" s="11"/>
      <c r="P48" s="7">
        <v>17748.91</v>
      </c>
      <c r="Q48" s="2"/>
      <c r="R48" s="6">
        <f t="shared" si="24"/>
        <v>1.8234444198347088E-2</v>
      </c>
      <c r="S48" s="2"/>
      <c r="T48" s="7">
        <v>19267.893995999999</v>
      </c>
      <c r="U48" s="2"/>
      <c r="V48" s="6">
        <f t="shared" si="25"/>
        <v>1.0466732575358391E-2</v>
      </c>
      <c r="W48" s="2"/>
      <c r="X48" s="7">
        <f t="shared" si="26"/>
        <v>-1518.983995999999</v>
      </c>
      <c r="Y48" s="2"/>
      <c r="Z48" s="6">
        <f t="shared" si="27"/>
        <v>-7.8834977829717101E-2</v>
      </c>
    </row>
    <row r="49" spans="1:26" s="24" customFormat="1" hidden="1" outlineLevel="2" x14ac:dyDescent="0.25">
      <c r="A49" s="29"/>
      <c r="B49" s="11" t="str">
        <f>CONCATENATE("          ", "6005", " - ", "TEMPORARY WAGES-HOURLY")</f>
        <v xml:space="preserve">          6005 - TEMPORARY WAGES-HOURLY</v>
      </c>
      <c r="C49" s="11"/>
      <c r="D49" s="7">
        <v>1055.96</v>
      </c>
      <c r="E49" s="2"/>
      <c r="F49" s="6">
        <f t="shared" si="20"/>
        <v>5.9745915213374268E-3</v>
      </c>
      <c r="G49" s="2"/>
      <c r="H49" s="7">
        <v>3455</v>
      </c>
      <c r="I49" s="2"/>
      <c r="J49" s="6">
        <f t="shared" si="21"/>
        <v>9.2181759484315767E-3</v>
      </c>
      <c r="K49" s="2"/>
      <c r="L49" s="7">
        <f t="shared" si="22"/>
        <v>-2399.04</v>
      </c>
      <c r="M49" s="2"/>
      <c r="N49" s="6">
        <f t="shared" si="23"/>
        <v>-0.69436758321273517</v>
      </c>
      <c r="O49" s="11"/>
      <c r="P49" s="7">
        <v>8137.23</v>
      </c>
      <c r="Q49" s="2"/>
      <c r="R49" s="6">
        <f t="shared" si="24"/>
        <v>8.3598297790746512E-3</v>
      </c>
      <c r="S49" s="2"/>
      <c r="T49" s="7">
        <v>11646</v>
      </c>
      <c r="U49" s="2"/>
      <c r="V49" s="6">
        <f t="shared" si="25"/>
        <v>6.3263565596701557E-3</v>
      </c>
      <c r="W49" s="2"/>
      <c r="X49" s="7">
        <f t="shared" si="26"/>
        <v>-3508.7700000000004</v>
      </c>
      <c r="Y49" s="2"/>
      <c r="Z49" s="6">
        <f t="shared" si="27"/>
        <v>-0.30128541988665641</v>
      </c>
    </row>
    <row r="50" spans="1:26" s="24" customFormat="1" hidden="1" outlineLevel="2" x14ac:dyDescent="0.25">
      <c r="A50" s="29"/>
      <c r="B50" s="11" t="str">
        <f>CONCATENATE("          ", "6006", " - ", "TEMPORARY PART TIME")</f>
        <v xml:space="preserve">          6006 - TEMPORARY PART TIME</v>
      </c>
      <c r="C50" s="11"/>
      <c r="D50" s="7"/>
      <c r="E50" s="2"/>
      <c r="F50" s="6">
        <f t="shared" si="20"/>
        <v>0</v>
      </c>
      <c r="G50" s="2"/>
      <c r="H50" s="7">
        <v>0</v>
      </c>
      <c r="I50" s="2"/>
      <c r="J50" s="6">
        <f t="shared" si="21"/>
        <v>0</v>
      </c>
      <c r="K50" s="2"/>
      <c r="L50" s="7">
        <f t="shared" si="22"/>
        <v>0</v>
      </c>
      <c r="M50" s="2"/>
      <c r="N50" s="6">
        <f t="shared" si="23"/>
        <v>0</v>
      </c>
      <c r="O50" s="11"/>
      <c r="P50" s="7"/>
      <c r="Q50" s="2"/>
      <c r="R50" s="6">
        <f t="shared" si="24"/>
        <v>0</v>
      </c>
      <c r="S50" s="2"/>
      <c r="T50" s="7">
        <v>0</v>
      </c>
      <c r="U50" s="2"/>
      <c r="V50" s="6">
        <f t="shared" si="25"/>
        <v>0</v>
      </c>
      <c r="W50" s="2"/>
      <c r="X50" s="7">
        <f t="shared" si="26"/>
        <v>0</v>
      </c>
      <c r="Y50" s="2"/>
      <c r="Z50" s="6">
        <f t="shared" si="27"/>
        <v>0</v>
      </c>
    </row>
    <row r="51" spans="1:26" s="24" customFormat="1" hidden="1" outlineLevel="2" x14ac:dyDescent="0.25">
      <c r="A51" s="29"/>
      <c r="B51" s="11" t="str">
        <f>CONCATENATE("          ", "6007", " - ", "STUDENT HOURLY")</f>
        <v xml:space="preserve">          6007 - STUDENT HOURLY</v>
      </c>
      <c r="C51" s="11"/>
      <c r="D51" s="7">
        <v>4598.51</v>
      </c>
      <c r="E51" s="2"/>
      <c r="F51" s="6">
        <f t="shared" si="20"/>
        <v>2.6018238244616625E-2</v>
      </c>
      <c r="G51" s="2"/>
      <c r="H51" s="7">
        <v>0</v>
      </c>
      <c r="I51" s="2"/>
      <c r="J51" s="6">
        <f t="shared" si="21"/>
        <v>0</v>
      </c>
      <c r="K51" s="2"/>
      <c r="L51" s="7">
        <f t="shared" si="22"/>
        <v>4598.51</v>
      </c>
      <c r="M51" s="2"/>
      <c r="N51" s="6">
        <f t="shared" si="23"/>
        <v>0</v>
      </c>
      <c r="O51" s="11"/>
      <c r="P51" s="7">
        <v>16584.52</v>
      </c>
      <c r="Q51" s="2"/>
      <c r="R51" s="6">
        <f t="shared" si="24"/>
        <v>1.7038201472449364E-2</v>
      </c>
      <c r="S51" s="2"/>
      <c r="T51" s="7">
        <v>13384</v>
      </c>
      <c r="U51" s="2"/>
      <c r="V51" s="6">
        <f t="shared" si="25"/>
        <v>7.270475373057304E-3</v>
      </c>
      <c r="W51" s="2"/>
      <c r="X51" s="7">
        <f t="shared" si="26"/>
        <v>3200.5200000000004</v>
      </c>
      <c r="Y51" s="2"/>
      <c r="Z51" s="6">
        <f t="shared" si="27"/>
        <v>0.23913030484160194</v>
      </c>
    </row>
    <row r="52" spans="1:26" s="24" customFormat="1" hidden="1" outlineLevel="2" x14ac:dyDescent="0.25">
      <c r="A52" s="29"/>
      <c r="B52" s="11" t="str">
        <f>CONCATENATE("          ", "6008", " - ", "STUDENT HOURLY-FICA EXEMPT")</f>
        <v xml:space="preserve">          6008 - STUDENT HOURLY-FICA EXEMPT</v>
      </c>
      <c r="C52" s="11"/>
      <c r="D52" s="7">
        <v>2260.86</v>
      </c>
      <c r="E52" s="2"/>
      <c r="F52" s="6">
        <f t="shared" si="20"/>
        <v>1.2791881308885691E-2</v>
      </c>
      <c r="G52" s="2"/>
      <c r="H52" s="7">
        <v>7168</v>
      </c>
      <c r="I52" s="2"/>
      <c r="J52" s="6">
        <f t="shared" si="21"/>
        <v>1.9124713516167159E-2</v>
      </c>
      <c r="K52" s="2"/>
      <c r="L52" s="7">
        <f t="shared" si="22"/>
        <v>-4907.1399999999994</v>
      </c>
      <c r="M52" s="2"/>
      <c r="N52" s="6">
        <f t="shared" si="23"/>
        <v>-0.68458984374999987</v>
      </c>
      <c r="O52" s="11"/>
      <c r="P52" s="7">
        <v>3799.88</v>
      </c>
      <c r="Q52" s="2"/>
      <c r="R52" s="6">
        <f t="shared" si="24"/>
        <v>3.903828450333859E-3</v>
      </c>
      <c r="S52" s="2"/>
      <c r="T52" s="7">
        <v>13440</v>
      </c>
      <c r="U52" s="2"/>
      <c r="V52" s="6">
        <f t="shared" si="25"/>
        <v>7.3008957721077536E-3</v>
      </c>
      <c r="W52" s="2"/>
      <c r="X52" s="7">
        <f t="shared" si="26"/>
        <v>-9640.119999999999</v>
      </c>
      <c r="Y52" s="2"/>
      <c r="Z52" s="6">
        <f t="shared" si="27"/>
        <v>-0.7172708333333333</v>
      </c>
    </row>
    <row r="53" spans="1:26" s="24" customFormat="1" hidden="1" outlineLevel="2" x14ac:dyDescent="0.25">
      <c r="A53" s="29"/>
      <c r="B53" s="11" t="str">
        <f>CONCATENATE("          ", "6009", " - ", "TEMPORARY-SEASONAL")</f>
        <v xml:space="preserve">          6009 - TEMPORARY-SEASONAL</v>
      </c>
      <c r="C53" s="11"/>
      <c r="D53" s="7"/>
      <c r="E53" s="2"/>
      <c r="F53" s="6">
        <f t="shared" si="20"/>
        <v>0</v>
      </c>
      <c r="G53" s="2"/>
      <c r="H53" s="7">
        <v>0</v>
      </c>
      <c r="I53" s="2"/>
      <c r="J53" s="6">
        <f t="shared" si="21"/>
        <v>0</v>
      </c>
      <c r="K53" s="2"/>
      <c r="L53" s="7">
        <f t="shared" si="22"/>
        <v>0</v>
      </c>
      <c r="M53" s="2"/>
      <c r="N53" s="6">
        <f t="shared" si="23"/>
        <v>0</v>
      </c>
      <c r="O53" s="11"/>
      <c r="P53" s="7"/>
      <c r="Q53" s="2"/>
      <c r="R53" s="6">
        <f t="shared" si="24"/>
        <v>0</v>
      </c>
      <c r="S53" s="2"/>
      <c r="T53" s="7">
        <v>0</v>
      </c>
      <c r="U53" s="2"/>
      <c r="V53" s="6">
        <f t="shared" si="25"/>
        <v>0</v>
      </c>
      <c r="W53" s="2"/>
      <c r="X53" s="7">
        <f t="shared" si="26"/>
        <v>0</v>
      </c>
      <c r="Y53" s="2"/>
      <c r="Z53" s="6">
        <f t="shared" si="27"/>
        <v>0</v>
      </c>
    </row>
    <row r="54" spans="1:26" s="24" customFormat="1" hidden="1" outlineLevel="2" x14ac:dyDescent="0.25">
      <c r="A54" s="29"/>
      <c r="B54" s="11" t="str">
        <f>CONCATENATE("          ", "6010", " - ", "GRATUITY")</f>
        <v xml:space="preserve">          6010 - GRATUITY</v>
      </c>
      <c r="C54" s="11"/>
      <c r="D54" s="7"/>
      <c r="E54" s="2"/>
      <c r="F54" s="6">
        <f t="shared" si="20"/>
        <v>0</v>
      </c>
      <c r="G54" s="2"/>
      <c r="H54" s="7">
        <v>0</v>
      </c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0</v>
      </c>
      <c r="U54" s="2"/>
      <c r="V54" s="6">
        <f t="shared" si="25"/>
        <v>0</v>
      </c>
      <c r="W54" s="2"/>
      <c r="X54" s="7">
        <f t="shared" si="26"/>
        <v>0</v>
      </c>
      <c r="Y54" s="2"/>
      <c r="Z54" s="6">
        <f t="shared" si="27"/>
        <v>0</v>
      </c>
    </row>
    <row r="55" spans="1:26" s="28" customFormat="1" outlineLevel="1" collapsed="1" x14ac:dyDescent="0.25">
      <c r="A55" s="27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SUM(OSRRefD22_2x_0)</f>
        <v>35.28</v>
      </c>
      <c r="E55" s="1"/>
      <c r="F55" s="5">
        <f t="shared" ref="F55:F70" si="28">IF(D$12=0,0,D55/D$12)</f>
        <v>1.9961323238833328E-4</v>
      </c>
      <c r="G55" s="1"/>
      <c r="H55" s="1">
        <f>SUM(OSRRefH22_2x_0)</f>
        <v>100</v>
      </c>
      <c r="I55" s="1"/>
      <c r="J55" s="5">
        <f t="shared" ref="J55:J70" si="29">IF(H$12=0,0,H55/H$12)</f>
        <v>2.668068291875999E-4</v>
      </c>
      <c r="K55" s="1"/>
      <c r="L55" s="1">
        <f t="shared" ref="L55:L70" si="30">+D55-H55</f>
        <v>-64.72</v>
      </c>
      <c r="M55" s="1"/>
      <c r="N55" s="5">
        <f t="shared" ref="N55:N70" si="31">IF(H55=0,0,L55/H55)</f>
        <v>-0.6472</v>
      </c>
      <c r="O55" s="14"/>
      <c r="P55" s="1">
        <f>SUM(OSRRefP22_2x_0)</f>
        <v>119.42</v>
      </c>
      <c r="Q55" s="1"/>
      <c r="R55" s="5">
        <f t="shared" ref="R55:R70" si="32">IF(P$12=0,0,P55/P$12)</f>
        <v>1.2268681998875476E-4</v>
      </c>
      <c r="S55" s="1"/>
      <c r="T55" s="1">
        <f>SUM(OSRRefT22_2x_0)</f>
        <v>1900</v>
      </c>
      <c r="U55" s="1"/>
      <c r="V55" s="5">
        <f t="shared" ref="V55:V70" si="33">IF(T$12=0,0,T55/T$12)</f>
        <v>1.0321206820688045E-3</v>
      </c>
      <c r="W55" s="1"/>
      <c r="X55" s="1">
        <f t="shared" ref="X55:X70" si="34">+P55-T55</f>
        <v>-1780.58</v>
      </c>
      <c r="Y55" s="1"/>
      <c r="Z55" s="5">
        <f t="shared" ref="Z55:Z70" si="35">IF(T55=0,0,X55/T55)</f>
        <v>-0.93714736842105262</v>
      </c>
    </row>
    <row r="56" spans="1:26" s="24" customFormat="1" hidden="1" outlineLevel="2" x14ac:dyDescent="0.25">
      <c r="A56" s="29"/>
      <c r="B56" s="11" t="str">
        <f>CONCATENATE("          ", "6362", " - ", "ADVERTISING EXPENSE")</f>
        <v xml:space="preserve">          6362 - ADVERTISING EXPENSE</v>
      </c>
      <c r="C56" s="11"/>
      <c r="D56" s="7">
        <v>35.28</v>
      </c>
      <c r="E56" s="2"/>
      <c r="F56" s="6">
        <f t="shared" si="28"/>
        <v>1.9961323238833328E-4</v>
      </c>
      <c r="G56" s="2"/>
      <c r="H56" s="7">
        <v>100</v>
      </c>
      <c r="I56" s="2"/>
      <c r="J56" s="6">
        <f t="shared" si="29"/>
        <v>2.668068291875999E-4</v>
      </c>
      <c r="K56" s="2"/>
      <c r="L56" s="7">
        <f t="shared" si="30"/>
        <v>-64.72</v>
      </c>
      <c r="M56" s="2"/>
      <c r="N56" s="6">
        <f t="shared" si="31"/>
        <v>-0.6472</v>
      </c>
      <c r="O56" s="11"/>
      <c r="P56" s="7">
        <v>119.42</v>
      </c>
      <c r="Q56" s="2"/>
      <c r="R56" s="6">
        <f t="shared" si="32"/>
        <v>1.2268681998875476E-4</v>
      </c>
      <c r="S56" s="2"/>
      <c r="T56" s="7">
        <v>1900</v>
      </c>
      <c r="U56" s="2"/>
      <c r="V56" s="6">
        <f t="shared" si="33"/>
        <v>1.0321206820688045E-3</v>
      </c>
      <c r="W56" s="2"/>
      <c r="X56" s="7">
        <f t="shared" si="34"/>
        <v>-1780.58</v>
      </c>
      <c r="Y56" s="2"/>
      <c r="Z56" s="6">
        <f t="shared" si="35"/>
        <v>-0.93714736842105262</v>
      </c>
    </row>
    <row r="57" spans="1:26" s="28" customFormat="1" outlineLevel="1" collapsed="1" x14ac:dyDescent="0.25">
      <c r="A57" s="27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SUM(OSRRefD22_3x_0)</f>
        <v>0</v>
      </c>
      <c r="E57" s="1"/>
      <c r="F57" s="5">
        <f t="shared" si="28"/>
        <v>0</v>
      </c>
      <c r="G57" s="1"/>
      <c r="H57" s="1">
        <f>SUM(OSRRefH22_3x_0)</f>
        <v>50</v>
      </c>
      <c r="I57" s="1"/>
      <c r="J57" s="5">
        <f t="shared" si="29"/>
        <v>1.3340341459379995E-4</v>
      </c>
      <c r="K57" s="1"/>
      <c r="L57" s="1">
        <f t="shared" si="30"/>
        <v>-50</v>
      </c>
      <c r="M57" s="1"/>
      <c r="N57" s="5">
        <f t="shared" si="31"/>
        <v>-1</v>
      </c>
      <c r="O57" s="14"/>
      <c r="P57" s="1">
        <f>SUM(OSRRefP22_3x_0)</f>
        <v>0</v>
      </c>
      <c r="Q57" s="1"/>
      <c r="R57" s="5">
        <f t="shared" si="32"/>
        <v>0</v>
      </c>
      <c r="S57" s="1"/>
      <c r="T57" s="1">
        <f>SUM(OSRRefT22_3x_0)</f>
        <v>150</v>
      </c>
      <c r="U57" s="1"/>
      <c r="V57" s="5">
        <f t="shared" si="33"/>
        <v>8.1483211742274029E-5</v>
      </c>
      <c r="W57" s="1"/>
      <c r="X57" s="1">
        <f t="shared" si="34"/>
        <v>-150</v>
      </c>
      <c r="Y57" s="1"/>
      <c r="Z57" s="5">
        <f t="shared" si="35"/>
        <v>-1</v>
      </c>
    </row>
    <row r="58" spans="1:26" s="24" customFormat="1" hidden="1" outlineLevel="2" x14ac:dyDescent="0.25">
      <c r="A58" s="29"/>
      <c r="B58" s="11" t="str">
        <f>CONCATENATE("          ", "6277", " - ", "EMPLOYEE APPRECIATION")</f>
        <v xml:space="preserve">          6277 - EMPLOYEE APPRECIATION</v>
      </c>
      <c r="C58" s="11"/>
      <c r="D58" s="7"/>
      <c r="E58" s="2"/>
      <c r="F58" s="6">
        <f t="shared" si="28"/>
        <v>0</v>
      </c>
      <c r="G58" s="2"/>
      <c r="H58" s="7">
        <v>50</v>
      </c>
      <c r="I58" s="2"/>
      <c r="J58" s="6">
        <f t="shared" si="29"/>
        <v>1.3340341459379995E-4</v>
      </c>
      <c r="K58" s="2"/>
      <c r="L58" s="7">
        <f t="shared" si="30"/>
        <v>-50</v>
      </c>
      <c r="M58" s="2"/>
      <c r="N58" s="6">
        <f t="shared" si="31"/>
        <v>-1</v>
      </c>
      <c r="O58" s="11"/>
      <c r="P58" s="7"/>
      <c r="Q58" s="2"/>
      <c r="R58" s="6">
        <f t="shared" si="32"/>
        <v>0</v>
      </c>
      <c r="S58" s="2"/>
      <c r="T58" s="7">
        <v>150</v>
      </c>
      <c r="U58" s="2"/>
      <c r="V58" s="6">
        <f t="shared" si="33"/>
        <v>8.1483211742274029E-5</v>
      </c>
      <c r="W58" s="2"/>
      <c r="X58" s="7">
        <f t="shared" si="34"/>
        <v>-150</v>
      </c>
      <c r="Y58" s="2"/>
      <c r="Z58" s="6">
        <f t="shared" si="35"/>
        <v>-1</v>
      </c>
    </row>
    <row r="59" spans="1:26" s="28" customFormat="1" outlineLevel="1" collapsed="1" x14ac:dyDescent="0.25">
      <c r="A59" s="27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SUM(OSRRefD22_4x_0)</f>
        <v>91.26</v>
      </c>
      <c r="E59" s="1"/>
      <c r="F59" s="5">
        <f t="shared" si="28"/>
        <v>5.1634647357594375E-4</v>
      </c>
      <c r="G59" s="1"/>
      <c r="H59" s="1">
        <f>SUM(OSRRefH22_4x_0)</f>
        <v>100</v>
      </c>
      <c r="I59" s="1"/>
      <c r="J59" s="5">
        <f t="shared" si="29"/>
        <v>2.668068291875999E-4</v>
      </c>
      <c r="K59" s="1"/>
      <c r="L59" s="1">
        <f t="shared" si="30"/>
        <v>-8.7399999999999949</v>
      </c>
      <c r="M59" s="1"/>
      <c r="N59" s="5">
        <f t="shared" si="31"/>
        <v>-8.739999999999995E-2</v>
      </c>
      <c r="O59" s="14"/>
      <c r="P59" s="1">
        <f>SUM(OSRRefP22_4x_0)</f>
        <v>273.77999999999997</v>
      </c>
      <c r="Q59" s="1"/>
      <c r="R59" s="5">
        <f t="shared" si="32"/>
        <v>2.812694488069107E-4</v>
      </c>
      <c r="S59" s="1"/>
      <c r="T59" s="1">
        <f>SUM(OSRRefT22_4x_0)</f>
        <v>300</v>
      </c>
      <c r="U59" s="1"/>
      <c r="V59" s="5">
        <f t="shared" si="33"/>
        <v>1.6296642348454806E-4</v>
      </c>
      <c r="W59" s="1"/>
      <c r="X59" s="1">
        <f t="shared" si="34"/>
        <v>-26.220000000000027</v>
      </c>
      <c r="Y59" s="1"/>
      <c r="Z59" s="5">
        <f t="shared" si="35"/>
        <v>-8.7400000000000089E-2</v>
      </c>
    </row>
    <row r="60" spans="1:26" s="24" customFormat="1" hidden="1" outlineLevel="2" x14ac:dyDescent="0.25">
      <c r="A60" s="29"/>
      <c r="B60" s="11" t="str">
        <f>CONCATENATE("          ", "6351", " - ", "EQUIPMENT RENTAL")</f>
        <v xml:space="preserve">          6351 - EQUIPMENT RENTAL</v>
      </c>
      <c r="C60" s="11"/>
      <c r="D60" s="7">
        <v>91.26</v>
      </c>
      <c r="E60" s="2"/>
      <c r="F60" s="6">
        <f t="shared" si="28"/>
        <v>5.1634647357594375E-4</v>
      </c>
      <c r="G60" s="2"/>
      <c r="H60" s="7">
        <v>100</v>
      </c>
      <c r="I60" s="2"/>
      <c r="J60" s="6">
        <f t="shared" si="29"/>
        <v>2.668068291875999E-4</v>
      </c>
      <c r="K60" s="2"/>
      <c r="L60" s="7">
        <f t="shared" si="30"/>
        <v>-8.7399999999999949</v>
      </c>
      <c r="M60" s="2"/>
      <c r="N60" s="6">
        <f t="shared" si="31"/>
        <v>-8.739999999999995E-2</v>
      </c>
      <c r="O60" s="11"/>
      <c r="P60" s="7">
        <v>273.77999999999997</v>
      </c>
      <c r="Q60" s="2"/>
      <c r="R60" s="6">
        <f t="shared" si="32"/>
        <v>2.812694488069107E-4</v>
      </c>
      <c r="S60" s="2"/>
      <c r="T60" s="7">
        <v>300</v>
      </c>
      <c r="U60" s="2"/>
      <c r="V60" s="6">
        <f t="shared" si="33"/>
        <v>1.6296642348454806E-4</v>
      </c>
      <c r="W60" s="2"/>
      <c r="X60" s="7">
        <f t="shared" si="34"/>
        <v>-26.220000000000027</v>
      </c>
      <c r="Y60" s="2"/>
      <c r="Z60" s="6">
        <f t="shared" si="35"/>
        <v>-8.7400000000000089E-2</v>
      </c>
    </row>
    <row r="61" spans="1:26" s="28" customFormat="1" outlineLevel="1" collapsed="1" x14ac:dyDescent="0.25">
      <c r="A61" s="27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SUM(OSRRefD22_5x_0)</f>
        <v>84.57</v>
      </c>
      <c r="E61" s="1"/>
      <c r="F61" s="5">
        <f t="shared" si="28"/>
        <v>4.7849464464516282E-4</v>
      </c>
      <c r="G61" s="1"/>
      <c r="H61" s="1">
        <f>SUM(OSRRefH22_5x_0)</f>
        <v>800</v>
      </c>
      <c r="I61" s="1"/>
      <c r="J61" s="5">
        <f t="shared" si="29"/>
        <v>2.1344546335007992E-3</v>
      </c>
      <c r="K61" s="1"/>
      <c r="L61" s="1">
        <f t="shared" si="30"/>
        <v>-715.43000000000006</v>
      </c>
      <c r="M61" s="1"/>
      <c r="N61" s="5">
        <f t="shared" si="31"/>
        <v>-0.89428750000000012</v>
      </c>
      <c r="O61" s="14"/>
      <c r="P61" s="1">
        <f>SUM(OSRRefP22_5x_0)</f>
        <v>380.54</v>
      </c>
      <c r="Q61" s="1"/>
      <c r="R61" s="5">
        <f t="shared" si="32"/>
        <v>3.9094994539039306E-4</v>
      </c>
      <c r="S61" s="1"/>
      <c r="T61" s="1">
        <f>SUM(OSRRefT22_5x_0)</f>
        <v>1600</v>
      </c>
      <c r="U61" s="1"/>
      <c r="V61" s="5">
        <f t="shared" si="33"/>
        <v>8.6915425858425635E-4</v>
      </c>
      <c r="W61" s="1"/>
      <c r="X61" s="1">
        <f t="shared" si="34"/>
        <v>-1219.46</v>
      </c>
      <c r="Y61" s="1"/>
      <c r="Z61" s="5">
        <f t="shared" si="35"/>
        <v>-0.76216250000000008</v>
      </c>
    </row>
    <row r="62" spans="1:26" s="24" customFormat="1" hidden="1" outlineLevel="2" x14ac:dyDescent="0.25">
      <c r="A62" s="29"/>
      <c r="B62" s="11" t="str">
        <f>CONCATENATE("          ", "6305", " - ", "FREIGHT OUT")</f>
        <v xml:space="preserve">          6305 - FREIGHT OUT</v>
      </c>
      <c r="C62" s="11"/>
      <c r="D62" s="7">
        <v>84.57</v>
      </c>
      <c r="E62" s="2"/>
      <c r="F62" s="6">
        <f t="shared" si="28"/>
        <v>4.7849464464516282E-4</v>
      </c>
      <c r="G62" s="2"/>
      <c r="H62" s="7">
        <v>800</v>
      </c>
      <c r="I62" s="2"/>
      <c r="J62" s="6">
        <f t="shared" si="29"/>
        <v>2.1344546335007992E-3</v>
      </c>
      <c r="K62" s="2"/>
      <c r="L62" s="7">
        <f t="shared" si="30"/>
        <v>-715.43000000000006</v>
      </c>
      <c r="M62" s="2"/>
      <c r="N62" s="6">
        <f t="shared" si="31"/>
        <v>-0.89428750000000012</v>
      </c>
      <c r="O62" s="11"/>
      <c r="P62" s="7">
        <v>380.54</v>
      </c>
      <c r="Q62" s="2"/>
      <c r="R62" s="6">
        <f t="shared" si="32"/>
        <v>3.9094994539039306E-4</v>
      </c>
      <c r="S62" s="2"/>
      <c r="T62" s="7">
        <v>1600</v>
      </c>
      <c r="U62" s="2"/>
      <c r="V62" s="6">
        <f t="shared" si="33"/>
        <v>8.6915425858425635E-4</v>
      </c>
      <c r="W62" s="2"/>
      <c r="X62" s="7">
        <f t="shared" si="34"/>
        <v>-1219.46</v>
      </c>
      <c r="Y62" s="2"/>
      <c r="Z62" s="6">
        <f t="shared" si="35"/>
        <v>-0.76216250000000008</v>
      </c>
    </row>
    <row r="63" spans="1:26" s="28" customFormat="1" outlineLevel="1" collapsed="1" x14ac:dyDescent="0.25">
      <c r="A63" s="27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SUM(OSRRefD22_6x_0)</f>
        <v>0</v>
      </c>
      <c r="E63" s="1"/>
      <c r="F63" s="5">
        <f t="shared" si="28"/>
        <v>0</v>
      </c>
      <c r="G63" s="1"/>
      <c r="H63" s="1">
        <f>SUM(OSRRefH22_6x_0)</f>
        <v>0</v>
      </c>
      <c r="I63" s="1"/>
      <c r="J63" s="5">
        <f t="shared" si="29"/>
        <v>0</v>
      </c>
      <c r="K63" s="1"/>
      <c r="L63" s="1">
        <f t="shared" si="30"/>
        <v>0</v>
      </c>
      <c r="M63" s="1"/>
      <c r="N63" s="5">
        <f t="shared" si="31"/>
        <v>0</v>
      </c>
      <c r="O63" s="14"/>
      <c r="P63" s="1">
        <f>SUM(OSRRefP22_6x_0)</f>
        <v>0</v>
      </c>
      <c r="Q63" s="1"/>
      <c r="R63" s="5">
        <f t="shared" si="32"/>
        <v>0</v>
      </c>
      <c r="S63" s="1"/>
      <c r="T63" s="1">
        <f>SUM(OSRRefT22_6x_0)</f>
        <v>125</v>
      </c>
      <c r="U63" s="1"/>
      <c r="V63" s="5">
        <f t="shared" si="33"/>
        <v>6.7902676451895029E-5</v>
      </c>
      <c r="W63" s="1"/>
      <c r="X63" s="1">
        <f t="shared" si="34"/>
        <v>-125</v>
      </c>
      <c r="Y63" s="1"/>
      <c r="Z63" s="5">
        <f t="shared" si="35"/>
        <v>-1</v>
      </c>
    </row>
    <row r="64" spans="1:26" s="24" customFormat="1" hidden="1" outlineLevel="2" x14ac:dyDescent="0.25">
      <c r="A64" s="29"/>
      <c r="B64" s="11" t="str">
        <f>CONCATENATE("          ", "6279", " - ", "GENERAL EXPENSE")</f>
        <v xml:space="preserve">          6279 - GENERAL EXPENSE</v>
      </c>
      <c r="C64" s="11"/>
      <c r="D64" s="7"/>
      <c r="E64" s="2"/>
      <c r="F64" s="6">
        <f t="shared" si="28"/>
        <v>0</v>
      </c>
      <c r="G64" s="2"/>
      <c r="H64" s="7">
        <v>0</v>
      </c>
      <c r="I64" s="2"/>
      <c r="J64" s="6">
        <f t="shared" si="29"/>
        <v>0</v>
      </c>
      <c r="K64" s="2"/>
      <c r="L64" s="7">
        <f t="shared" si="30"/>
        <v>0</v>
      </c>
      <c r="M64" s="2"/>
      <c r="N64" s="6">
        <f t="shared" si="31"/>
        <v>0</v>
      </c>
      <c r="O64" s="11"/>
      <c r="P64" s="7"/>
      <c r="Q64" s="2"/>
      <c r="R64" s="6">
        <f t="shared" si="32"/>
        <v>0</v>
      </c>
      <c r="S64" s="2"/>
      <c r="T64" s="7">
        <v>125</v>
      </c>
      <c r="U64" s="2"/>
      <c r="V64" s="6">
        <f t="shared" si="33"/>
        <v>6.7902676451895029E-5</v>
      </c>
      <c r="W64" s="2"/>
      <c r="X64" s="7">
        <f t="shared" si="34"/>
        <v>-125</v>
      </c>
      <c r="Y64" s="2"/>
      <c r="Z64" s="6">
        <f t="shared" si="35"/>
        <v>-1</v>
      </c>
    </row>
    <row r="65" spans="1:26" s="28" customFormat="1" outlineLevel="1" collapsed="1" x14ac:dyDescent="0.25">
      <c r="A65" s="27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SUM(OSRRefD22_7x_0)</f>
        <v>1000</v>
      </c>
      <c r="E65" s="1"/>
      <c r="F65" s="5">
        <f t="shared" si="28"/>
        <v>5.6579714395786074E-3</v>
      </c>
      <c r="G65" s="1"/>
      <c r="H65" s="1">
        <f>SUM(OSRRefH22_7x_0)</f>
        <v>1000</v>
      </c>
      <c r="I65" s="1"/>
      <c r="J65" s="5">
        <f t="shared" si="29"/>
        <v>2.6680682918759991E-3</v>
      </c>
      <c r="K65" s="1"/>
      <c r="L65" s="1">
        <f t="shared" si="30"/>
        <v>0</v>
      </c>
      <c r="M65" s="1"/>
      <c r="N65" s="5">
        <f t="shared" si="31"/>
        <v>0</v>
      </c>
      <c r="O65" s="14"/>
      <c r="P65" s="1">
        <f>SUM(OSRRefP22_7x_0)</f>
        <v>3000</v>
      </c>
      <c r="Q65" s="1"/>
      <c r="R65" s="5">
        <f t="shared" si="32"/>
        <v>3.0820671576474988E-3</v>
      </c>
      <c r="S65" s="1"/>
      <c r="T65" s="1">
        <f>SUM(OSRRefT22_7x_0)</f>
        <v>3000</v>
      </c>
      <c r="U65" s="1"/>
      <c r="V65" s="5">
        <f t="shared" si="33"/>
        <v>1.6296642348454806E-3</v>
      </c>
      <c r="W65" s="1"/>
      <c r="X65" s="1">
        <f t="shared" si="34"/>
        <v>0</v>
      </c>
      <c r="Y65" s="1"/>
      <c r="Z65" s="5">
        <f t="shared" si="35"/>
        <v>0</v>
      </c>
    </row>
    <row r="66" spans="1:26" s="24" customFormat="1" hidden="1" outlineLevel="2" x14ac:dyDescent="0.25">
      <c r="A66" s="29"/>
      <c r="B66" s="11" t="str">
        <f>CONCATENATE("          ", "6408", " - ", "INVENTORY ADJUSTMENT")</f>
        <v xml:space="preserve">          6408 - INVENTORY ADJUSTMENT</v>
      </c>
      <c r="C66" s="11"/>
      <c r="D66" s="7">
        <v>1000</v>
      </c>
      <c r="E66" s="2"/>
      <c r="F66" s="6">
        <f t="shared" si="28"/>
        <v>5.6579714395786074E-3</v>
      </c>
      <c r="G66" s="2"/>
      <c r="H66" s="7">
        <v>1000</v>
      </c>
      <c r="I66" s="2"/>
      <c r="J66" s="6">
        <f t="shared" si="29"/>
        <v>2.6680682918759991E-3</v>
      </c>
      <c r="K66" s="2"/>
      <c r="L66" s="7">
        <f t="shared" si="30"/>
        <v>0</v>
      </c>
      <c r="M66" s="2"/>
      <c r="N66" s="6">
        <f t="shared" si="31"/>
        <v>0</v>
      </c>
      <c r="O66" s="11"/>
      <c r="P66" s="7">
        <v>3000</v>
      </c>
      <c r="Q66" s="2"/>
      <c r="R66" s="6">
        <f t="shared" si="32"/>
        <v>3.0820671576474988E-3</v>
      </c>
      <c r="S66" s="2"/>
      <c r="T66" s="7">
        <v>3000</v>
      </c>
      <c r="U66" s="2"/>
      <c r="V66" s="6">
        <f t="shared" si="33"/>
        <v>1.6296642348454806E-3</v>
      </c>
      <c r="W66" s="2"/>
      <c r="X66" s="7">
        <f t="shared" si="34"/>
        <v>0</v>
      </c>
      <c r="Y66" s="2"/>
      <c r="Z66" s="6">
        <f t="shared" si="35"/>
        <v>0</v>
      </c>
    </row>
    <row r="67" spans="1:26" s="28" customFormat="1" outlineLevel="1" collapsed="1" x14ac:dyDescent="0.25">
      <c r="A67" s="27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SUM(OSRRefD22_8x_0)</f>
        <v>0</v>
      </c>
      <c r="E67" s="1"/>
      <c r="F67" s="5">
        <f t="shared" si="28"/>
        <v>0</v>
      </c>
      <c r="G67" s="1"/>
      <c r="H67" s="1">
        <f>SUM(OSRRefH22_8x_0)</f>
        <v>80</v>
      </c>
      <c r="I67" s="1"/>
      <c r="J67" s="5">
        <f t="shared" si="29"/>
        <v>2.1344546335007992E-4</v>
      </c>
      <c r="K67" s="1"/>
      <c r="L67" s="1">
        <f t="shared" si="30"/>
        <v>-80</v>
      </c>
      <c r="M67" s="1"/>
      <c r="N67" s="5">
        <f t="shared" si="31"/>
        <v>-1</v>
      </c>
      <c r="O67" s="14"/>
      <c r="P67" s="1">
        <f>SUM(OSRRefP22_8x_0)</f>
        <v>2900.53</v>
      </c>
      <c r="Q67" s="1"/>
      <c r="R67" s="5">
        <f t="shared" si="32"/>
        <v>2.9798760842570998E-3</v>
      </c>
      <c r="S67" s="1"/>
      <c r="T67" s="1">
        <f>SUM(OSRRefT22_8x_0)</f>
        <v>240</v>
      </c>
      <c r="U67" s="1"/>
      <c r="V67" s="5">
        <f t="shared" si="33"/>
        <v>1.3037313878763845E-4</v>
      </c>
      <c r="W67" s="1"/>
      <c r="X67" s="1">
        <f t="shared" si="34"/>
        <v>2660.53</v>
      </c>
      <c r="Y67" s="1"/>
      <c r="Z67" s="5">
        <f t="shared" si="35"/>
        <v>11.085541666666668</v>
      </c>
    </row>
    <row r="68" spans="1:26" s="24" customFormat="1" hidden="1" outlineLevel="2" x14ac:dyDescent="0.25">
      <c r="A68" s="29"/>
      <c r="B68" s="11" t="str">
        <f>CONCATENATE("          ", "6371", " - ", "COMPUTER SOFTWARE MAINTENANCE")</f>
        <v xml:space="preserve">          6371 - COMPUTER SOFTWARE MAINTENANCE</v>
      </c>
      <c r="C68" s="11"/>
      <c r="D68" s="7"/>
      <c r="E68" s="2"/>
      <c r="F68" s="6">
        <f t="shared" si="28"/>
        <v>0</v>
      </c>
      <c r="G68" s="2"/>
      <c r="H68" s="7"/>
      <c r="I68" s="2"/>
      <c r="J68" s="6">
        <f t="shared" si="29"/>
        <v>0</v>
      </c>
      <c r="K68" s="2"/>
      <c r="L68" s="7">
        <f t="shared" si="30"/>
        <v>0</v>
      </c>
      <c r="M68" s="2"/>
      <c r="N68" s="6">
        <f t="shared" si="31"/>
        <v>0</v>
      </c>
      <c r="O68" s="11"/>
      <c r="P68" s="7">
        <v>2887.5</v>
      </c>
      <c r="Q68" s="2"/>
      <c r="R68" s="6">
        <f t="shared" si="32"/>
        <v>2.9664896392357174E-3</v>
      </c>
      <c r="S68" s="2"/>
      <c r="T68" s="7"/>
      <c r="U68" s="2"/>
      <c r="V68" s="6">
        <f t="shared" si="33"/>
        <v>0</v>
      </c>
      <c r="W68" s="2"/>
      <c r="X68" s="7">
        <f t="shared" si="34"/>
        <v>2887.5</v>
      </c>
      <c r="Y68" s="2"/>
      <c r="Z68" s="6">
        <f t="shared" si="35"/>
        <v>0</v>
      </c>
    </row>
    <row r="69" spans="1:26" s="24" customFormat="1" hidden="1" outlineLevel="2" x14ac:dyDescent="0.25">
      <c r="A69" s="29"/>
      <c r="B69" s="11" t="str">
        <f>CONCATENATE("          ", "6373", " - ", "MAINTENANCE CONTRACTS")</f>
        <v xml:space="preserve">          6373 - MAINTENANCE CONTRACTS</v>
      </c>
      <c r="C69" s="11"/>
      <c r="D69" s="7"/>
      <c r="E69" s="2"/>
      <c r="F69" s="6">
        <f t="shared" si="28"/>
        <v>0</v>
      </c>
      <c r="G69" s="2"/>
      <c r="H69" s="7">
        <v>40</v>
      </c>
      <c r="I69" s="2"/>
      <c r="J69" s="6">
        <f t="shared" si="29"/>
        <v>1.0672273167503996E-4</v>
      </c>
      <c r="K69" s="2"/>
      <c r="L69" s="7">
        <f t="shared" si="30"/>
        <v>-40</v>
      </c>
      <c r="M69" s="2"/>
      <c r="N69" s="6">
        <f t="shared" si="31"/>
        <v>-1</v>
      </c>
      <c r="O69" s="11"/>
      <c r="P69" s="7">
        <v>13.03</v>
      </c>
      <c r="Q69" s="2"/>
      <c r="R69" s="6">
        <f t="shared" si="32"/>
        <v>1.3386445021382302E-5</v>
      </c>
      <c r="S69" s="2"/>
      <c r="T69" s="7">
        <v>120</v>
      </c>
      <c r="U69" s="2"/>
      <c r="V69" s="6">
        <f t="shared" si="33"/>
        <v>6.5186569393819226E-5</v>
      </c>
      <c r="W69" s="2"/>
      <c r="X69" s="7">
        <f t="shared" si="34"/>
        <v>-106.97</v>
      </c>
      <c r="Y69" s="2"/>
      <c r="Z69" s="6">
        <f t="shared" si="35"/>
        <v>-0.89141666666666663</v>
      </c>
    </row>
    <row r="70" spans="1:26" s="24" customFormat="1" hidden="1" outlineLevel="2" x14ac:dyDescent="0.25">
      <c r="A70" s="29"/>
      <c r="B70" s="11" t="str">
        <f>CONCATENATE("          ", "6375", " - ", "OUTSIDE REPAIRS &amp; MAINTENANCE")</f>
        <v xml:space="preserve">          6375 - OUTSIDE REPAIRS &amp; MAINTENANCE</v>
      </c>
      <c r="C70" s="11"/>
      <c r="D70" s="7"/>
      <c r="E70" s="2"/>
      <c r="F70" s="6">
        <f t="shared" si="28"/>
        <v>0</v>
      </c>
      <c r="G70" s="2"/>
      <c r="H70" s="7">
        <v>40</v>
      </c>
      <c r="I70" s="2"/>
      <c r="J70" s="6">
        <f t="shared" si="29"/>
        <v>1.0672273167503996E-4</v>
      </c>
      <c r="K70" s="2"/>
      <c r="L70" s="7">
        <f t="shared" si="30"/>
        <v>-40</v>
      </c>
      <c r="M70" s="2"/>
      <c r="N70" s="6">
        <f t="shared" si="31"/>
        <v>-1</v>
      </c>
      <c r="O70" s="11"/>
      <c r="P70" s="7"/>
      <c r="Q70" s="2"/>
      <c r="R70" s="6">
        <f t="shared" si="32"/>
        <v>0</v>
      </c>
      <c r="S70" s="2"/>
      <c r="T70" s="7">
        <v>120</v>
      </c>
      <c r="U70" s="2"/>
      <c r="V70" s="6">
        <f t="shared" si="33"/>
        <v>6.5186569393819226E-5</v>
      </c>
      <c r="W70" s="2"/>
      <c r="X70" s="7">
        <f t="shared" si="34"/>
        <v>-120</v>
      </c>
      <c r="Y70" s="2"/>
      <c r="Z70" s="6">
        <f t="shared" si="35"/>
        <v>-1</v>
      </c>
    </row>
    <row r="71" spans="1:26" s="28" customFormat="1" outlineLevel="1" collapsed="1" x14ac:dyDescent="0.25">
      <c r="A71" s="27"/>
      <c r="B71" s="14" t="str">
        <f>CONCATENATE("     ","Subscriptions &amp; Dues                              ")</f>
        <v xml:space="preserve">     Subscriptions &amp; Dues                              </v>
      </c>
      <c r="C71" s="14"/>
      <c r="D71" s="1">
        <f>SUM(OSRRefD22_9x_0)</f>
        <v>47.44</v>
      </c>
      <c r="E71" s="1"/>
      <c r="F71" s="5">
        <f t="shared" ref="F71:F75" si="36">IF(D$12=0,0,D71/D$12)</f>
        <v>2.6841416509360911E-4</v>
      </c>
      <c r="G71" s="1"/>
      <c r="H71" s="1">
        <f>SUM(OSRRefH22_9x_0)</f>
        <v>300</v>
      </c>
      <c r="I71" s="1"/>
      <c r="J71" s="5">
        <f t="shared" ref="J71:J75" si="37">IF(H$12=0,0,H71/H$12)</f>
        <v>8.0042048756279963E-4</v>
      </c>
      <c r="K71" s="1"/>
      <c r="L71" s="1">
        <f t="shared" ref="L71:L75" si="38">+D71-H71</f>
        <v>-252.56</v>
      </c>
      <c r="M71" s="1"/>
      <c r="N71" s="5">
        <f t="shared" ref="N71:N75" si="39">IF(H71=0,0,L71/H71)</f>
        <v>-0.84186666666666665</v>
      </c>
      <c r="O71" s="14"/>
      <c r="P71" s="1">
        <f>SUM(OSRRefP22_9x_0)</f>
        <v>172.76</v>
      </c>
      <c r="Q71" s="1"/>
      <c r="R71" s="5">
        <f t="shared" ref="R71:R75" si="40">IF(P$12=0,0,P71/P$12)</f>
        <v>1.7748597405172728E-4</v>
      </c>
      <c r="S71" s="1"/>
      <c r="T71" s="1">
        <f>SUM(OSRRefT22_9x_0)</f>
        <v>900</v>
      </c>
      <c r="U71" s="1"/>
      <c r="V71" s="5">
        <f t="shared" ref="V71:V75" si="41">IF(T$12=0,0,T71/T$12)</f>
        <v>4.8889927045364418E-4</v>
      </c>
      <c r="W71" s="1"/>
      <c r="X71" s="1">
        <f t="shared" ref="X71:X75" si="42">+P71-T71</f>
        <v>-727.24</v>
      </c>
      <c r="Y71" s="1"/>
      <c r="Z71" s="5">
        <f t="shared" ref="Z71:Z75" si="43">IF(T71=0,0,X71/T71)</f>
        <v>-0.80804444444444445</v>
      </c>
    </row>
    <row r="72" spans="1:26" s="24" customFormat="1" hidden="1" outlineLevel="2" x14ac:dyDescent="0.25">
      <c r="A72" s="29"/>
      <c r="B72" s="11" t="str">
        <f>CONCATENATE("          ", "6258", " - ", "MEMBERSHIP DUES")</f>
        <v xml:space="preserve">          6258 - MEMBERSHIP DUES</v>
      </c>
      <c r="C72" s="11"/>
      <c r="D72" s="7">
        <v>47.44</v>
      </c>
      <c r="E72" s="2"/>
      <c r="F72" s="6">
        <f t="shared" si="36"/>
        <v>2.6841416509360911E-4</v>
      </c>
      <c r="G72" s="2"/>
      <c r="H72" s="7">
        <v>300</v>
      </c>
      <c r="I72" s="2"/>
      <c r="J72" s="6">
        <f t="shared" si="37"/>
        <v>8.0042048756279963E-4</v>
      </c>
      <c r="K72" s="2"/>
      <c r="L72" s="7">
        <f t="shared" si="38"/>
        <v>-252.56</v>
      </c>
      <c r="M72" s="2"/>
      <c r="N72" s="6">
        <f t="shared" si="39"/>
        <v>-0.84186666666666665</v>
      </c>
      <c r="O72" s="11"/>
      <c r="P72" s="7">
        <v>172.76</v>
      </c>
      <c r="Q72" s="2"/>
      <c r="R72" s="6">
        <f t="shared" si="40"/>
        <v>1.7748597405172728E-4</v>
      </c>
      <c r="S72" s="2"/>
      <c r="T72" s="7">
        <v>900</v>
      </c>
      <c r="U72" s="2"/>
      <c r="V72" s="6">
        <f t="shared" si="41"/>
        <v>4.8889927045364418E-4</v>
      </c>
      <c r="W72" s="2"/>
      <c r="X72" s="7">
        <f t="shared" si="42"/>
        <v>-727.24</v>
      </c>
      <c r="Y72" s="2"/>
      <c r="Z72" s="6">
        <f t="shared" si="43"/>
        <v>-0.80804444444444445</v>
      </c>
    </row>
    <row r="73" spans="1:26" s="28" customFormat="1" outlineLevel="1" collapsed="1" x14ac:dyDescent="0.25">
      <c r="A73" s="27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SUM(OSRRefD22_10x_0)</f>
        <v>8.5399999999999991</v>
      </c>
      <c r="E73" s="1"/>
      <c r="F73" s="5">
        <f t="shared" si="36"/>
        <v>4.8319076094001301E-5</v>
      </c>
      <c r="G73" s="1"/>
      <c r="H73" s="1">
        <f>SUM(OSRRefH22_10x_0)</f>
        <v>700</v>
      </c>
      <c r="I73" s="1"/>
      <c r="J73" s="5">
        <f t="shared" si="37"/>
        <v>1.8676478043131992E-3</v>
      </c>
      <c r="K73" s="1"/>
      <c r="L73" s="1">
        <f t="shared" si="38"/>
        <v>-691.46</v>
      </c>
      <c r="M73" s="1"/>
      <c r="N73" s="5">
        <f t="shared" si="39"/>
        <v>-0.98780000000000001</v>
      </c>
      <c r="O73" s="14"/>
      <c r="P73" s="1">
        <f>SUM(OSRRefP22_10x_0)</f>
        <v>609.89</v>
      </c>
      <c r="Q73" s="1"/>
      <c r="R73" s="5">
        <f t="shared" si="40"/>
        <v>6.2657397959254429E-4</v>
      </c>
      <c r="S73" s="1"/>
      <c r="T73" s="1">
        <f>SUM(OSRRefT22_10x_0)</f>
        <v>2400</v>
      </c>
      <c r="U73" s="1"/>
      <c r="V73" s="5">
        <f t="shared" si="41"/>
        <v>1.3037313878763845E-3</v>
      </c>
      <c r="W73" s="1"/>
      <c r="X73" s="1">
        <f t="shared" si="42"/>
        <v>-1790.1100000000001</v>
      </c>
      <c r="Y73" s="1"/>
      <c r="Z73" s="5">
        <f t="shared" si="43"/>
        <v>-0.74587916666666676</v>
      </c>
    </row>
    <row r="74" spans="1:26" s="24" customFormat="1" hidden="1" outlineLevel="2" x14ac:dyDescent="0.25">
      <c r="A74" s="29"/>
      <c r="B74" s="11" t="str">
        <f>CONCATENATE("          ", "6241", " - ", "OFFICE EXPENSE")</f>
        <v xml:space="preserve">          6241 - OFFICE EXPENSE</v>
      </c>
      <c r="C74" s="11"/>
      <c r="D74" s="7">
        <v>8.5399999999999991</v>
      </c>
      <c r="E74" s="2"/>
      <c r="F74" s="6">
        <f t="shared" si="36"/>
        <v>4.8319076094001301E-5</v>
      </c>
      <c r="G74" s="2"/>
      <c r="H74" s="7">
        <v>300</v>
      </c>
      <c r="I74" s="2"/>
      <c r="J74" s="6">
        <f t="shared" si="37"/>
        <v>8.0042048756279963E-4</v>
      </c>
      <c r="K74" s="2"/>
      <c r="L74" s="7">
        <f t="shared" si="38"/>
        <v>-291.45999999999998</v>
      </c>
      <c r="M74" s="2"/>
      <c r="N74" s="6">
        <f t="shared" si="39"/>
        <v>-0.97153333333333325</v>
      </c>
      <c r="O74" s="11"/>
      <c r="P74" s="7">
        <v>609.89</v>
      </c>
      <c r="Q74" s="2"/>
      <c r="R74" s="6">
        <f t="shared" si="40"/>
        <v>6.2657397959254429E-4</v>
      </c>
      <c r="S74" s="2"/>
      <c r="T74" s="7">
        <v>1200</v>
      </c>
      <c r="U74" s="2"/>
      <c r="V74" s="6">
        <f t="shared" si="41"/>
        <v>6.5186569393819224E-4</v>
      </c>
      <c r="W74" s="2"/>
      <c r="X74" s="7">
        <f t="shared" si="42"/>
        <v>-590.11</v>
      </c>
      <c r="Y74" s="2"/>
      <c r="Z74" s="6">
        <f t="shared" si="43"/>
        <v>-0.49175833333333335</v>
      </c>
    </row>
    <row r="75" spans="1:26" s="24" customFormat="1" hidden="1" outlineLevel="2" x14ac:dyDescent="0.25">
      <c r="A75" s="29"/>
      <c r="B75" s="11" t="str">
        <f>CONCATENATE("          ", "6247", " - ", "STORE SUPPLIES")</f>
        <v xml:space="preserve">          6247 - STORE SUPPLIES</v>
      </c>
      <c r="C75" s="11"/>
      <c r="D75" s="7"/>
      <c r="E75" s="2"/>
      <c r="F75" s="6">
        <f t="shared" si="36"/>
        <v>0</v>
      </c>
      <c r="G75" s="2"/>
      <c r="H75" s="7">
        <v>400</v>
      </c>
      <c r="I75" s="2"/>
      <c r="J75" s="6">
        <f t="shared" si="37"/>
        <v>1.0672273167503996E-3</v>
      </c>
      <c r="K75" s="2"/>
      <c r="L75" s="7">
        <f t="shared" si="38"/>
        <v>-400</v>
      </c>
      <c r="M75" s="2"/>
      <c r="N75" s="6">
        <f t="shared" si="39"/>
        <v>-1</v>
      </c>
      <c r="O75" s="11"/>
      <c r="P75" s="7"/>
      <c r="Q75" s="2"/>
      <c r="R75" s="6">
        <f t="shared" si="40"/>
        <v>0</v>
      </c>
      <c r="S75" s="2"/>
      <c r="T75" s="7">
        <v>1200</v>
      </c>
      <c r="U75" s="2"/>
      <c r="V75" s="6">
        <f t="shared" si="41"/>
        <v>6.5186569393819224E-4</v>
      </c>
      <c r="W75" s="2"/>
      <c r="X75" s="7">
        <f t="shared" si="42"/>
        <v>-1200</v>
      </c>
      <c r="Y75" s="2"/>
      <c r="Z75" s="6">
        <f t="shared" si="43"/>
        <v>-1</v>
      </c>
    </row>
    <row r="76" spans="1:26" s="28" customFormat="1" outlineLevel="1" collapsed="1" x14ac:dyDescent="0.25">
      <c r="A76" s="27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SUM(OSRRefD22_11x_0)</f>
        <v>414.85</v>
      </c>
      <c r="E76" s="1"/>
      <c r="F76" s="5">
        <f t="shared" ref="F76:F78" si="44">IF(D$12=0,0,D76/D$12)</f>
        <v>2.3472094517091855E-3</v>
      </c>
      <c r="G76" s="1"/>
      <c r="H76" s="1">
        <f>SUM(OSRRefH22_11x_0)</f>
        <v>450</v>
      </c>
      <c r="I76" s="1"/>
      <c r="J76" s="5">
        <f t="shared" ref="J76:J78" si="45">IF(H$12=0,0,H76/H$12)</f>
        <v>1.2006307313441994E-3</v>
      </c>
      <c r="K76" s="1"/>
      <c r="L76" s="1">
        <f t="shared" ref="L76:L78" si="46">+D76-H76</f>
        <v>-35.149999999999977</v>
      </c>
      <c r="M76" s="1"/>
      <c r="N76" s="5">
        <f t="shared" ref="N76:N78" si="47">IF(H76=0,0,L76/H76)</f>
        <v>-7.8111111111111062E-2</v>
      </c>
      <c r="O76" s="14"/>
      <c r="P76" s="1">
        <f>SUM(OSRRefP22_11x_0)</f>
        <v>1843.15</v>
      </c>
      <c r="Q76" s="1"/>
      <c r="R76" s="5">
        <f t="shared" ref="R76:R78" si="48">IF(P$12=0,0,P76/P$12)</f>
        <v>1.8935706938726625E-3</v>
      </c>
      <c r="S76" s="1"/>
      <c r="T76" s="1">
        <f>SUM(OSRRefT22_11x_0)</f>
        <v>1400</v>
      </c>
      <c r="U76" s="1"/>
      <c r="V76" s="5">
        <f t="shared" ref="V76:V78" si="49">IF(T$12=0,0,T76/T$12)</f>
        <v>7.6050997626122435E-4</v>
      </c>
      <c r="W76" s="1"/>
      <c r="X76" s="1">
        <f t="shared" ref="X76:X78" si="50">+P76-T76</f>
        <v>443.15000000000009</v>
      </c>
      <c r="Y76" s="1"/>
      <c r="Z76" s="5">
        <f t="shared" ref="Z76:Z78" si="51">IF(T76=0,0,X76/T76)</f>
        <v>0.31653571428571436</v>
      </c>
    </row>
    <row r="77" spans="1:26" s="24" customFormat="1" hidden="1" outlineLevel="2" x14ac:dyDescent="0.25">
      <c r="A77" s="29"/>
      <c r="B77" s="11" t="str">
        <f>CONCATENATE("          ", "6303", " - ", "DATA PHONE LINES")</f>
        <v xml:space="preserve">          6303 - DATA PHONE LINES</v>
      </c>
      <c r="C77" s="11"/>
      <c r="D77" s="7"/>
      <c r="E77" s="2"/>
      <c r="F77" s="6">
        <f t="shared" si="44"/>
        <v>0</v>
      </c>
      <c r="G77" s="2"/>
      <c r="H77" s="7">
        <v>0</v>
      </c>
      <c r="I77" s="2"/>
      <c r="J77" s="6">
        <f t="shared" si="45"/>
        <v>0</v>
      </c>
      <c r="K77" s="2"/>
      <c r="L77" s="7">
        <f t="shared" si="46"/>
        <v>0</v>
      </c>
      <c r="M77" s="2"/>
      <c r="N77" s="6">
        <f t="shared" si="47"/>
        <v>0</v>
      </c>
      <c r="O77" s="11"/>
      <c r="P77" s="7">
        <v>295</v>
      </c>
      <c r="Q77" s="2"/>
      <c r="R77" s="6">
        <f t="shared" si="48"/>
        <v>3.0306993716867068E-4</v>
      </c>
      <c r="S77" s="2"/>
      <c r="T77" s="7">
        <v>0</v>
      </c>
      <c r="U77" s="2"/>
      <c r="V77" s="6">
        <f t="shared" si="49"/>
        <v>0</v>
      </c>
      <c r="W77" s="2"/>
      <c r="X77" s="7">
        <f t="shared" si="50"/>
        <v>295</v>
      </c>
      <c r="Y77" s="2"/>
      <c r="Z77" s="6">
        <f t="shared" si="51"/>
        <v>0</v>
      </c>
    </row>
    <row r="78" spans="1:26" s="24" customFormat="1" hidden="1" outlineLevel="2" x14ac:dyDescent="0.25">
      <c r="A78" s="29"/>
      <c r="B78" s="11" t="str">
        <f>CONCATENATE("          ", "6309", " - ", "TELEPHONE")</f>
        <v xml:space="preserve">          6309 - TELEPHONE</v>
      </c>
      <c r="C78" s="11"/>
      <c r="D78" s="7">
        <v>414.85</v>
      </c>
      <c r="E78" s="2"/>
      <c r="F78" s="6">
        <f t="shared" si="44"/>
        <v>2.3472094517091855E-3</v>
      </c>
      <c r="G78" s="2"/>
      <c r="H78" s="7">
        <v>450</v>
      </c>
      <c r="I78" s="2"/>
      <c r="J78" s="6">
        <f t="shared" si="45"/>
        <v>1.2006307313441994E-3</v>
      </c>
      <c r="K78" s="2"/>
      <c r="L78" s="7">
        <f t="shared" si="46"/>
        <v>-35.149999999999977</v>
      </c>
      <c r="M78" s="2"/>
      <c r="N78" s="6">
        <f t="shared" si="47"/>
        <v>-7.8111111111111062E-2</v>
      </c>
      <c r="O78" s="11"/>
      <c r="P78" s="7">
        <v>1548.15</v>
      </c>
      <c r="Q78" s="2"/>
      <c r="R78" s="6">
        <f t="shared" si="48"/>
        <v>1.5905007567039917E-3</v>
      </c>
      <c r="S78" s="2"/>
      <c r="T78" s="7">
        <v>1400</v>
      </c>
      <c r="U78" s="2"/>
      <c r="V78" s="6">
        <f t="shared" si="49"/>
        <v>7.6050997626122435E-4</v>
      </c>
      <c r="W78" s="2"/>
      <c r="X78" s="7">
        <f t="shared" si="50"/>
        <v>148.15000000000009</v>
      </c>
      <c r="Y78" s="2"/>
      <c r="Z78" s="6">
        <f t="shared" si="51"/>
        <v>0.10582142857142864</v>
      </c>
    </row>
    <row r="79" spans="1:26" s="58" customFormat="1" x14ac:dyDescent="0.25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collapsed="1" x14ac:dyDescent="0.25">
      <c r="A80" s="10"/>
      <c r="B80" s="26" t="s">
        <v>293</v>
      </c>
      <c r="C80" s="10"/>
      <c r="D80" s="4">
        <f>SUM(OSRRefD25x_0)</f>
        <v>158981.44999999998</v>
      </c>
      <c r="E80" s="4"/>
      <c r="F80" s="12">
        <f t="shared" ref="F80:F84" si="52">IF(D$12=0,0,D80/D$12)</f>
        <v>0.89951250352279433</v>
      </c>
      <c r="G80" s="4"/>
      <c r="H80" s="4">
        <f>SUM(OSRRefH25x_0)</f>
        <v>173146.5</v>
      </c>
      <c r="I80" s="4"/>
      <c r="J80" s="12">
        <f t="shared" ref="J80:J84" si="53">IF(H$12=0,0,H80/H$12)</f>
        <v>0.46196668649930761</v>
      </c>
      <c r="K80" s="4"/>
      <c r="L80" s="4">
        <f t="shared" ref="L80:L84" si="54">+D80-H80</f>
        <v>-14165.050000000017</v>
      </c>
      <c r="M80" s="4"/>
      <c r="N80" s="12">
        <f t="shared" ref="N80:N84" si="55">IF(H80=0,0,L80/H80)</f>
        <v>-8.1809623642406959E-2</v>
      </c>
      <c r="O80" s="10"/>
      <c r="P80" s="4">
        <f>SUM(OSRRefP25x_0)</f>
        <v>187956.47999999998</v>
      </c>
      <c r="Q80" s="4"/>
      <c r="R80" s="12">
        <f t="shared" ref="R80:R84" si="56">IF(P$12=0,0,P80/P$12)</f>
        <v>0.19309816469167629</v>
      </c>
      <c r="S80" s="4"/>
      <c r="T80" s="4">
        <f>SUM(OSRRefT25x_0)</f>
        <v>177706.5</v>
      </c>
      <c r="U80" s="4"/>
      <c r="V80" s="12">
        <f t="shared" ref="V80:V84" si="57">IF(T$12=0,0,T80/T$12)</f>
        <v>9.6533975783189466E-2</v>
      </c>
      <c r="W80" s="4"/>
      <c r="X80" s="4">
        <f t="shared" ref="X80:X84" si="58">+P80-T80</f>
        <v>10249.979999999981</v>
      </c>
      <c r="Y80" s="4"/>
      <c r="Z80" s="12">
        <f t="shared" ref="Z80:Z84" si="59">IF(T80=0,0,X80/T80)</f>
        <v>5.7679263279621071E-2</v>
      </c>
    </row>
    <row r="81" spans="1:26" s="24" customFormat="1" hidden="1" outlineLevel="1" x14ac:dyDescent="0.25">
      <c r="A81" s="44"/>
      <c r="B81" s="11" t="str">
        <f>CONCATENATE("          ", "9150", " - ", "MISC. INCOME")</f>
        <v xml:space="preserve">          9150 - MISC. INCOME</v>
      </c>
      <c r="C81" s="11"/>
      <c r="D81" s="2">
        <f>--1139.37</f>
        <v>1139.3699999999999</v>
      </c>
      <c r="E81" s="2"/>
      <c r="F81" s="19">
        <f t="shared" si="52"/>
        <v>6.4465229191126771E-3</v>
      </c>
      <c r="G81" s="2"/>
      <c r="H81" s="2">
        <v>11166</v>
      </c>
      <c r="I81" s="2"/>
      <c r="J81" s="19">
        <f t="shared" si="53"/>
        <v>2.9791650547087403E-2</v>
      </c>
      <c r="K81" s="2"/>
      <c r="L81" s="2">
        <f t="shared" si="54"/>
        <v>-10026.630000000001</v>
      </c>
      <c r="M81" s="2"/>
      <c r="N81" s="19">
        <f t="shared" si="55"/>
        <v>-0.89796077377753902</v>
      </c>
      <c r="O81" s="11"/>
      <c r="P81" s="2">
        <f>--17555.01</f>
        <v>17555.009999999998</v>
      </c>
      <c r="Q81" s="2"/>
      <c r="R81" s="19">
        <f t="shared" si="56"/>
        <v>1.8035239924391138E-2</v>
      </c>
      <c r="S81" s="2"/>
      <c r="T81" s="2">
        <v>15726</v>
      </c>
      <c r="U81" s="2"/>
      <c r="V81" s="19">
        <f t="shared" si="57"/>
        <v>8.5426999190600095E-3</v>
      </c>
      <c r="W81" s="2"/>
      <c r="X81" s="2">
        <f t="shared" si="58"/>
        <v>1829.0099999999984</v>
      </c>
      <c r="Y81" s="2"/>
      <c r="Z81" s="19">
        <f t="shared" si="59"/>
        <v>0.11630484547882478</v>
      </c>
    </row>
    <row r="82" spans="1:26" s="24" customFormat="1" hidden="1" outlineLevel="1" x14ac:dyDescent="0.25">
      <c r="A82" s="44"/>
      <c r="B82" s="11" t="str">
        <f>CONCATENATE("          ", "9151", " - ", "MISC. INCOME")</f>
        <v xml:space="preserve">          9151 - MISC. INCOME</v>
      </c>
      <c r="C82" s="11"/>
      <c r="D82" s="2">
        <f>--156907</f>
        <v>156907</v>
      </c>
      <c r="E82" s="2"/>
      <c r="F82" s="19">
        <f t="shared" si="52"/>
        <v>0.88777532466996056</v>
      </c>
      <c r="G82" s="2"/>
      <c r="H82" s="2">
        <v>161980.5</v>
      </c>
      <c r="I82" s="2"/>
      <c r="J82" s="19">
        <f t="shared" si="53"/>
        <v>0.43217503595222023</v>
      </c>
      <c r="K82" s="2"/>
      <c r="L82" s="2">
        <f t="shared" si="54"/>
        <v>-5073.5</v>
      </c>
      <c r="M82" s="2"/>
      <c r="N82" s="19">
        <f t="shared" si="55"/>
        <v>-3.1321671435759244E-2</v>
      </c>
      <c r="O82" s="11"/>
      <c r="P82" s="2">
        <f>--168463.36</f>
        <v>168463.35999999999</v>
      </c>
      <c r="Q82" s="2"/>
      <c r="R82" s="19">
        <f t="shared" si="56"/>
        <v>0.17307179637431575</v>
      </c>
      <c r="S82" s="2"/>
      <c r="T82" s="2">
        <v>161980.5</v>
      </c>
      <c r="U82" s="2"/>
      <c r="V82" s="19">
        <f t="shared" si="57"/>
        <v>8.7991275864129456E-2</v>
      </c>
      <c r="W82" s="2"/>
      <c r="X82" s="2">
        <f t="shared" si="58"/>
        <v>6482.859999999986</v>
      </c>
      <c r="Y82" s="2"/>
      <c r="Z82" s="19">
        <f t="shared" si="59"/>
        <v>4.0022471840746178E-2</v>
      </c>
    </row>
    <row r="83" spans="1:26" s="24" customFormat="1" hidden="1" outlineLevel="1" x14ac:dyDescent="0.25">
      <c r="A83" s="44"/>
      <c r="B83" s="11" t="str">
        <f>CONCATENATE("          ", "9152", " - ", "MISC. INCOME")</f>
        <v xml:space="preserve">          9152 - MISC. INCOME</v>
      </c>
      <c r="C83" s="11"/>
      <c r="D83" s="2">
        <f>--935.08</f>
        <v>935.08</v>
      </c>
      <c r="E83" s="2"/>
      <c r="F83" s="19">
        <f t="shared" si="52"/>
        <v>5.2906559337211646E-3</v>
      </c>
      <c r="G83" s="2"/>
      <c r="H83" s="2"/>
      <c r="I83" s="2"/>
      <c r="J83" s="19">
        <f t="shared" si="53"/>
        <v>0</v>
      </c>
      <c r="K83" s="2"/>
      <c r="L83" s="2">
        <f t="shared" si="54"/>
        <v>935.08</v>
      </c>
      <c r="M83" s="2"/>
      <c r="N83" s="19">
        <f t="shared" si="55"/>
        <v>0</v>
      </c>
      <c r="O83" s="11"/>
      <c r="P83" s="2">
        <f>--1938.11</f>
        <v>1938.11</v>
      </c>
      <c r="Q83" s="2"/>
      <c r="R83" s="19">
        <f t="shared" si="56"/>
        <v>1.9911283929693979E-3</v>
      </c>
      <c r="S83" s="2"/>
      <c r="T83" s="2"/>
      <c r="U83" s="2"/>
      <c r="V83" s="19">
        <f t="shared" si="57"/>
        <v>0</v>
      </c>
      <c r="W83" s="2"/>
      <c r="X83" s="2">
        <f t="shared" si="58"/>
        <v>1938.11</v>
      </c>
      <c r="Y83" s="2"/>
      <c r="Z83" s="19">
        <f t="shared" si="59"/>
        <v>0</v>
      </c>
    </row>
    <row r="84" spans="1:26" s="24" customFormat="1" hidden="1" outlineLevel="1" x14ac:dyDescent="0.25">
      <c r="A84" s="44"/>
      <c r="B84" s="11" t="str">
        <f>CONCATENATE("          ", "9160", " - ", "MISC. INCOME")</f>
        <v xml:space="preserve">          9160 - MISC. INCOME</v>
      </c>
      <c r="C84" s="11"/>
      <c r="D84" s="2">
        <f>0</f>
        <v>0</v>
      </c>
      <c r="E84" s="2"/>
      <c r="F84" s="19">
        <f t="shared" si="52"/>
        <v>0</v>
      </c>
      <c r="G84" s="2"/>
      <c r="H84" s="2">
        <v>0</v>
      </c>
      <c r="I84" s="2"/>
      <c r="J84" s="19">
        <f t="shared" si="53"/>
        <v>0</v>
      </c>
      <c r="K84" s="2"/>
      <c r="L84" s="2">
        <f t="shared" si="54"/>
        <v>0</v>
      </c>
      <c r="M84" s="2"/>
      <c r="N84" s="19">
        <f t="shared" si="55"/>
        <v>0</v>
      </c>
      <c r="O84" s="11"/>
      <c r="P84" s="2">
        <f>0</f>
        <v>0</v>
      </c>
      <c r="Q84" s="2"/>
      <c r="R84" s="19">
        <f t="shared" si="56"/>
        <v>0</v>
      </c>
      <c r="S84" s="2"/>
      <c r="T84" s="2">
        <v>0</v>
      </c>
      <c r="U84" s="2"/>
      <c r="V84" s="19">
        <f t="shared" si="57"/>
        <v>0</v>
      </c>
      <c r="W84" s="2"/>
      <c r="X84" s="2">
        <f t="shared" si="58"/>
        <v>0</v>
      </c>
      <c r="Y84" s="2"/>
      <c r="Z84" s="19">
        <f t="shared" si="59"/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5" t="s">
        <v>277</v>
      </c>
      <c r="C86" s="25"/>
      <c r="D86" s="21">
        <f>+D30-D32+D80</f>
        <v>113783.26999999992</v>
      </c>
      <c r="E86" s="13"/>
      <c r="F86" s="20">
        <f>IF(D$12=0,0,D86/D$12)</f>
        <v>0.64378249196186088</v>
      </c>
      <c r="G86" s="13"/>
      <c r="H86" s="21">
        <f>+H30-H32+H80</f>
        <v>225898.87326101027</v>
      </c>
      <c r="I86" s="13"/>
      <c r="J86" s="20">
        <f>IF(H$12=0,0,H86/H$12)</f>
        <v>0.60271362091821645</v>
      </c>
      <c r="K86" s="16"/>
      <c r="L86" s="21">
        <f>+D86-H86</f>
        <v>-112115.60326101036</v>
      </c>
      <c r="M86" s="16"/>
      <c r="N86" s="20">
        <f>IF(H86=0,0,L86/H86)</f>
        <v>-0.49630882014833538</v>
      </c>
      <c r="O86" s="26"/>
      <c r="P86" s="21">
        <f>+P30-P32+P80</f>
        <v>194895.08000000002</v>
      </c>
      <c r="Q86" s="13"/>
      <c r="R86" s="20">
        <f>IF(P$12=0,0,P86/P$12)</f>
        <v>0.20022657508502731</v>
      </c>
      <c r="S86" s="13"/>
      <c r="T86" s="21">
        <f>+T30-T32+T80</f>
        <v>517714.99715328339</v>
      </c>
      <c r="U86" s="13"/>
      <c r="V86" s="20">
        <f>IF(T$12=0,0,T86/T$12)</f>
        <v>0.28123387156794527</v>
      </c>
      <c r="W86" s="16"/>
      <c r="X86" s="21">
        <f>+P86-T86</f>
        <v>-322819.91715328337</v>
      </c>
      <c r="Y86" s="16"/>
      <c r="Z86" s="20">
        <f>IF(T86=0,0,X86/T86)</f>
        <v>-0.62354754822314695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128</v>
      </c>
      <c r="C88" s="10"/>
      <c r="D88" s="4">
        <v>1436.83</v>
      </c>
      <c r="E88" s="4"/>
      <c r="F88" s="12">
        <f>IF(D$12=0,0,D88/D$12)</f>
        <v>8.1295431035297312E-3</v>
      </c>
      <c r="G88" s="4"/>
      <c r="H88" s="4">
        <v>35700</v>
      </c>
      <c r="I88" s="4"/>
      <c r="J88" s="12">
        <f>IF(H$12=0,0,H88/H$12)</f>
        <v>9.5250038019973157E-2</v>
      </c>
      <c r="K88" s="4"/>
      <c r="L88" s="4">
        <f>+D88-H88</f>
        <v>-34263.17</v>
      </c>
      <c r="M88" s="4"/>
      <c r="N88" s="12">
        <f>IF(H88=0,0,L88/H88)</f>
        <v>-0.95975266106442569</v>
      </c>
      <c r="O88" s="10"/>
      <c r="P88" s="4">
        <v>120479.81</v>
      </c>
      <c r="Q88" s="4"/>
      <c r="R88" s="12">
        <f>IF(P$12=0,0,P88/P$12)</f>
        <v>0.1237756218535369</v>
      </c>
      <c r="S88" s="4"/>
      <c r="T88" s="4">
        <v>199890</v>
      </c>
      <c r="U88" s="4"/>
      <c r="V88" s="12">
        <f>IF(T$12=0,0,T88/T$12)</f>
        <v>0.10858452796775438</v>
      </c>
      <c r="W88" s="4"/>
      <c r="X88" s="4">
        <f>+P88-T88</f>
        <v>-79410.19</v>
      </c>
      <c r="Y88" s="4"/>
      <c r="Z88" s="12">
        <f>IF(T88=0,0,X88/T88)</f>
        <v>-0.39726944819650811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5" t="s">
        <v>126</v>
      </c>
      <c r="C90" s="25"/>
      <c r="D90" s="33">
        <f>+D86-D88</f>
        <v>112346.43999999992</v>
      </c>
      <c r="E90" s="13"/>
      <c r="F90" s="31">
        <f>IF(D$12=0,0,D90/D$12)</f>
        <v>0.63565294885833123</v>
      </c>
      <c r="G90" s="13"/>
      <c r="H90" s="33">
        <f>+H86-H88</f>
        <v>190198.87326101027</v>
      </c>
      <c r="I90" s="13"/>
      <c r="J90" s="31">
        <f>IF(H$12=0,0,H90/H$12)</f>
        <v>0.50746358289824323</v>
      </c>
      <c r="K90" s="16"/>
      <c r="L90" s="33">
        <f>D90-H90</f>
        <v>-77852.433261010359</v>
      </c>
      <c r="M90" s="16"/>
      <c r="N90" s="31">
        <f>IF(H90=0,0,L90/H90)</f>
        <v>-0.4093212116676071</v>
      </c>
      <c r="O90" s="26"/>
      <c r="P90" s="33">
        <f>+P86-P88</f>
        <v>74415.270000000019</v>
      </c>
      <c r="Q90" s="13"/>
      <c r="R90" s="31">
        <f>IF(P$12=0,0,P90/P$12)</f>
        <v>7.6450953231490412E-2</v>
      </c>
      <c r="S90" s="13"/>
      <c r="T90" s="33">
        <f>+T86-T88</f>
        <v>317824.99715328339</v>
      </c>
      <c r="U90" s="13"/>
      <c r="V90" s="31">
        <f>IF(T$12=0,0,T90/T$12)</f>
        <v>0.17264934360019088</v>
      </c>
      <c r="W90" s="16"/>
      <c r="X90" s="33">
        <f>P90-T90</f>
        <v>-243409.72715328337</v>
      </c>
      <c r="Y90" s="16"/>
      <c r="Z90" s="31">
        <f>IF(T90=0,0,X90/T90)</f>
        <v>-0.76586086473207649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5" t="s">
        <v>294</v>
      </c>
      <c r="C93" s="25"/>
      <c r="D93" s="35">
        <f>SUM(D90:D92)</f>
        <v>112346.43999999992</v>
      </c>
      <c r="E93" s="13"/>
      <c r="F93" s="34">
        <f>IF(D$12=0,0,D93/D$12)</f>
        <v>0.63565294885833123</v>
      </c>
      <c r="G93" s="13"/>
      <c r="H93" s="35">
        <f>SUM(H90:H92)</f>
        <v>190198.87326101027</v>
      </c>
      <c r="I93" s="13"/>
      <c r="J93" s="34">
        <f>IF(H$12=0,0,H93/H$12)</f>
        <v>0.50746358289824323</v>
      </c>
      <c r="K93" s="16"/>
      <c r="L93" s="35">
        <f>+D93-H93</f>
        <v>-77852.433261010359</v>
      </c>
      <c r="M93" s="16"/>
      <c r="N93" s="34">
        <f>IF(H93=0,0,L93/H93)</f>
        <v>-0.4093212116676071</v>
      </c>
      <c r="O93" s="26"/>
      <c r="P93" s="35">
        <f>SUM(P90:P92)</f>
        <v>74415.270000000019</v>
      </c>
      <c r="Q93" s="13"/>
      <c r="R93" s="34">
        <f>IF(P$12=0,0,P93/P$12)</f>
        <v>7.6450953231490412E-2</v>
      </c>
      <c r="S93" s="13"/>
      <c r="T93" s="35">
        <f>SUM(T90:T92)</f>
        <v>317824.99715328339</v>
      </c>
      <c r="U93" s="13"/>
      <c r="V93" s="34">
        <f>IF(T$12=0,0,T93/T$12)</f>
        <v>0.17264934360019088</v>
      </c>
      <c r="W93" s="16"/>
      <c r="X93" s="35">
        <f>+P93-T93</f>
        <v>-243409.72715328337</v>
      </c>
      <c r="Y93" s="16"/>
      <c r="Z93" s="34">
        <f>IF(T93=0,0,X93/T93)</f>
        <v>-0.76586086473207649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61">
        <v>44481.978956793981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6" t="s">
        <v>56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4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outlinePr summaryBelow="0" summaryRight="0"/>
  </sheetPr>
  <dimension ref="A2:Z3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","324", " - ", "Textbook Rental")</f>
        <v>Department 324 - Textbook Rental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57614.85</v>
      </c>
      <c r="E12" s="4"/>
      <c r="F12" s="12"/>
      <c r="G12" s="4"/>
      <c r="H12" s="4">
        <f>SUM(OSRRefH13x_0)</f>
        <v>94301</v>
      </c>
      <c r="I12" s="4"/>
      <c r="J12" s="12"/>
      <c r="K12" s="4"/>
      <c r="L12" s="4">
        <f t="shared" ref="L12:L14" si="0">+D12-H12</f>
        <v>-36686.15</v>
      </c>
      <c r="M12" s="4"/>
      <c r="N12" s="12">
        <f t="shared" ref="N12:N14" si="1">IF(H12=0,0,L12/H12)</f>
        <v>-0.38903245988907859</v>
      </c>
      <c r="O12" s="10"/>
      <c r="P12" s="4">
        <f>SUM(OSRRefP13x_0)</f>
        <v>332769.40999999997</v>
      </c>
      <c r="Q12" s="4"/>
      <c r="R12" s="12"/>
      <c r="S12" s="4"/>
      <c r="T12" s="4">
        <f>SUM(OSRRefT13x_0)</f>
        <v>911599</v>
      </c>
      <c r="U12" s="4"/>
      <c r="V12" s="12"/>
      <c r="W12" s="4"/>
      <c r="X12" s="4">
        <f t="shared" ref="X12:X14" si="2">+P12-T12</f>
        <v>-578829.59000000008</v>
      </c>
      <c r="Y12" s="4"/>
      <c r="Z12" s="12">
        <f t="shared" ref="Z12:Z14" si="3">IF(T12=0,0,X12/T12)</f>
        <v>-0.63496075577090372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--38086.92</f>
        <v>38086.92</v>
      </c>
      <c r="E13" s="2"/>
      <c r="F13" s="19"/>
      <c r="G13" s="2"/>
      <c r="H13" s="2">
        <v>94301</v>
      </c>
      <c r="I13" s="2"/>
      <c r="J13" s="19"/>
      <c r="K13" s="2"/>
      <c r="L13" s="2">
        <f t="shared" si="0"/>
        <v>-56214.080000000002</v>
      </c>
      <c r="M13" s="2"/>
      <c r="N13" s="19">
        <f t="shared" si="1"/>
        <v>-0.59611329678370328</v>
      </c>
      <c r="O13" s="11"/>
      <c r="P13" s="2">
        <f>--209080.9</f>
        <v>209080.9</v>
      </c>
      <c r="Q13" s="2"/>
      <c r="R13" s="19"/>
      <c r="S13" s="2"/>
      <c r="T13" s="2">
        <v>911599</v>
      </c>
      <c r="U13" s="2"/>
      <c r="V13" s="19"/>
      <c r="W13" s="2"/>
      <c r="X13" s="2">
        <f t="shared" si="2"/>
        <v>-702518.1</v>
      </c>
      <c r="Y13" s="2"/>
      <c r="Z13" s="19">
        <f t="shared" si="3"/>
        <v>-0.7706437808729496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--19527.93</f>
        <v>19527.93</v>
      </c>
      <c r="E14" s="2"/>
      <c r="F14" s="19"/>
      <c r="G14" s="2"/>
      <c r="H14" s="2"/>
      <c r="I14" s="2"/>
      <c r="J14" s="19"/>
      <c r="K14" s="2"/>
      <c r="L14" s="2">
        <f t="shared" si="0"/>
        <v>19527.93</v>
      </c>
      <c r="M14" s="2"/>
      <c r="N14" s="19">
        <f t="shared" si="1"/>
        <v>0</v>
      </c>
      <c r="O14" s="11"/>
      <c r="P14" s="2">
        <f>--123688.51</f>
        <v>123688.51</v>
      </c>
      <c r="Q14" s="2"/>
      <c r="R14" s="19"/>
      <c r="S14" s="2"/>
      <c r="T14" s="2"/>
      <c r="U14" s="2"/>
      <c r="V14" s="19"/>
      <c r="W14" s="2"/>
      <c r="X14" s="2">
        <f t="shared" si="2"/>
        <v>123688.51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257</v>
      </c>
      <c r="C16" s="10"/>
      <c r="D16" s="4">
        <f>SUM(OSRRefD16x_0)</f>
        <v>46013.09</v>
      </c>
      <c r="E16" s="4"/>
      <c r="F16" s="12">
        <f t="shared" ref="F16:F17" si="4">IF(D$12=0,0,D16/D$12)</f>
        <v>0.79863247062172338</v>
      </c>
      <c r="G16" s="4"/>
      <c r="H16" s="4">
        <f>SUM(OSRRefH16x_0)</f>
        <v>68368</v>
      </c>
      <c r="I16" s="4"/>
      <c r="J16" s="12">
        <f t="shared" ref="J16:J17" si="5">IF(H$12=0,0,H16/H$12)</f>
        <v>0.72499761402318108</v>
      </c>
      <c r="K16" s="4"/>
      <c r="L16" s="4">
        <f t="shared" ref="L16:L17" si="6">+D16-H16</f>
        <v>-22354.910000000003</v>
      </c>
      <c r="M16" s="4"/>
      <c r="N16" s="12">
        <f t="shared" ref="N16:N17" si="7">IF(H16=0,0,L16/H16)</f>
        <v>-0.3269791422887901</v>
      </c>
      <c r="O16" s="10"/>
      <c r="P16" s="4">
        <f>SUM(OSRRefP16x_0)</f>
        <v>250973.75</v>
      </c>
      <c r="Q16" s="4"/>
      <c r="R16" s="12">
        <f t="shared" ref="R16:R17" si="8">IF(P$12=0,0,P16/P$12)</f>
        <v>0.75419717816009602</v>
      </c>
      <c r="S16" s="4"/>
      <c r="T16" s="4">
        <f>SUM(OSRRefT16x_0)</f>
        <v>660910</v>
      </c>
      <c r="U16" s="4"/>
      <c r="V16" s="12">
        <f t="shared" ref="V16:V17" si="9">IF(T$12=0,0,T16/T$12)</f>
        <v>0.72500079530583073</v>
      </c>
      <c r="W16" s="4"/>
      <c r="X16" s="4">
        <f t="shared" ref="X16:X17" si="10">+P16-T16</f>
        <v>-409936.25</v>
      </c>
      <c r="Y16" s="4"/>
      <c r="Z16" s="12">
        <f t="shared" ref="Z16:Z17" si="11">IF(T16=0,0,X16/T16)</f>
        <v>-0.62026032288813904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>
        <v>46013.09</v>
      </c>
      <c r="E17" s="2"/>
      <c r="F17" s="19">
        <f t="shared" si="4"/>
        <v>0.79863247062172338</v>
      </c>
      <c r="G17" s="2"/>
      <c r="H17" s="2">
        <v>68368</v>
      </c>
      <c r="I17" s="2"/>
      <c r="J17" s="19">
        <f t="shared" si="5"/>
        <v>0.72499761402318108</v>
      </c>
      <c r="K17" s="2"/>
      <c r="L17" s="2">
        <f t="shared" si="6"/>
        <v>-22354.910000000003</v>
      </c>
      <c r="M17" s="2"/>
      <c r="N17" s="19">
        <f t="shared" si="7"/>
        <v>-0.3269791422887901</v>
      </c>
      <c r="O17" s="11"/>
      <c r="P17" s="2">
        <v>250973.75</v>
      </c>
      <c r="Q17" s="2"/>
      <c r="R17" s="19">
        <f t="shared" si="8"/>
        <v>0.75419717816009602</v>
      </c>
      <c r="S17" s="2"/>
      <c r="T17" s="2">
        <v>660910</v>
      </c>
      <c r="U17" s="2"/>
      <c r="V17" s="19">
        <f t="shared" si="9"/>
        <v>0.72500079530583073</v>
      </c>
      <c r="W17" s="2"/>
      <c r="X17" s="2">
        <f t="shared" si="10"/>
        <v>-409936.25</v>
      </c>
      <c r="Y17" s="2"/>
      <c r="Z17" s="19">
        <f t="shared" si="11"/>
        <v>-0.62026032288813904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5" t="s">
        <v>108</v>
      </c>
      <c r="C19" s="25"/>
      <c r="D19" s="21">
        <f>D12-D16</f>
        <v>11601.760000000002</v>
      </c>
      <c r="E19" s="13"/>
      <c r="F19" s="20">
        <f>IF(D$12=0,0,D19/D$12)</f>
        <v>0.20136752937827665</v>
      </c>
      <c r="G19" s="13"/>
      <c r="H19" s="21">
        <f>H12-H16</f>
        <v>25933</v>
      </c>
      <c r="I19" s="13"/>
      <c r="J19" s="20">
        <f>IF(H$12=0,0,H19/H$12)</f>
        <v>0.27500238597681892</v>
      </c>
      <c r="K19" s="16"/>
      <c r="L19" s="21">
        <f>+D19-H19</f>
        <v>-14331.239999999998</v>
      </c>
      <c r="M19" s="16"/>
      <c r="N19" s="20">
        <f>IF(H19=0,0,L19/H19)</f>
        <v>-0.55262561215439776</v>
      </c>
      <c r="O19" s="26"/>
      <c r="P19" s="21">
        <f>P12-P16</f>
        <v>81795.659999999974</v>
      </c>
      <c r="Q19" s="13"/>
      <c r="R19" s="20">
        <f>IF(P$12=0,0,P19/P$12)</f>
        <v>0.24580282183990404</v>
      </c>
      <c r="S19" s="13"/>
      <c r="T19" s="21">
        <f>T12-T16</f>
        <v>250689</v>
      </c>
      <c r="U19" s="13"/>
      <c r="V19" s="20">
        <f>IF(T$12=0,0,T19/T$12)</f>
        <v>0.27499920469416927</v>
      </c>
      <c r="W19" s="16"/>
      <c r="X19" s="21">
        <f>+P19-T19</f>
        <v>-168893.34000000003</v>
      </c>
      <c r="Y19" s="16"/>
      <c r="Z19" s="20">
        <f>IF(T19=0,0,X19/T19)</f>
        <v>-0.67371659705850684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6" t="s">
        <v>295</v>
      </c>
      <c r="C21" s="10"/>
      <c r="D21" s="22">
        <f>SUM(0)</f>
        <v>0</v>
      </c>
      <c r="E21" s="22"/>
      <c r="F21" s="32">
        <f>IF(D$12=0,0,D21/D$12)</f>
        <v>0</v>
      </c>
      <c r="G21" s="22"/>
      <c r="H21" s="22">
        <f>SUM(0)</f>
        <v>0</v>
      </c>
      <c r="I21" s="22"/>
      <c r="J21" s="32">
        <f>IF(H$12=0,0,H21/H$12)</f>
        <v>0</v>
      </c>
      <c r="K21" s="4"/>
      <c r="L21" s="22">
        <f>+D21-H21</f>
        <v>0</v>
      </c>
      <c r="M21" s="4"/>
      <c r="N21" s="32">
        <f>IF(H21=0,0,L21/H21)</f>
        <v>0</v>
      </c>
      <c r="O21" s="10"/>
      <c r="P21" s="22">
        <f>SUM(0)</f>
        <v>0</v>
      </c>
      <c r="Q21" s="22"/>
      <c r="R21" s="32">
        <f>IF(P$12=0,0,P21/P$12)</f>
        <v>0</v>
      </c>
      <c r="S21" s="22"/>
      <c r="T21" s="22">
        <f>SUM(0)</f>
        <v>0</v>
      </c>
      <c r="U21" s="22"/>
      <c r="V21" s="32">
        <f>IF(T$12=0,0,T21/T$12)</f>
        <v>0</v>
      </c>
      <c r="W21" s="4"/>
      <c r="X21" s="22">
        <f>+P21-T21</f>
        <v>0</v>
      </c>
      <c r="Y21" s="4"/>
      <c r="Z21" s="32">
        <f>IF(T21=0,0,X21/T21)</f>
        <v>0</v>
      </c>
    </row>
    <row r="22" spans="1:26" s="58" customFormat="1" x14ac:dyDescent="0.25">
      <c r="A22" s="36"/>
      <c r="B22" s="36"/>
      <c r="C22" s="36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293</v>
      </c>
      <c r="C23" s="10"/>
      <c r="D23" s="4">
        <f>SUM(0)</f>
        <v>0</v>
      </c>
      <c r="E23" s="4"/>
      <c r="F23" s="12">
        <f>IF(D$12=0,0,D23/D$12)</f>
        <v>0</v>
      </c>
      <c r="G23" s="4"/>
      <c r="H23" s="4">
        <f>SUM(0)</f>
        <v>0</v>
      </c>
      <c r="I23" s="4"/>
      <c r="J23" s="12">
        <f>IF(H$12=0,0,H23/H$12)</f>
        <v>0</v>
      </c>
      <c r="K23" s="4"/>
      <c r="L23" s="4">
        <f>+D23-H23</f>
        <v>0</v>
      </c>
      <c r="M23" s="4"/>
      <c r="N23" s="12">
        <f>IF(H23=0,0,L23/H23)</f>
        <v>0</v>
      </c>
      <c r="O23" s="10"/>
      <c r="P23" s="4">
        <f>SUM(0)</f>
        <v>0</v>
      </c>
      <c r="Q23" s="4"/>
      <c r="R23" s="12">
        <f>IF(P$12=0,0,P23/P$12)</f>
        <v>0</v>
      </c>
      <c r="S23" s="4"/>
      <c r="T23" s="4">
        <f>SUM(0)</f>
        <v>0</v>
      </c>
      <c r="U23" s="4"/>
      <c r="V23" s="12">
        <f>IF(T$12=0,0,T23/T$12)</f>
        <v>0</v>
      </c>
      <c r="W23" s="4"/>
      <c r="X23" s="4">
        <f>+P23-T23</f>
        <v>0</v>
      </c>
      <c r="Y23" s="4"/>
      <c r="Z23" s="12">
        <f>IF(T23=0,0,X23/T23)</f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5" t="s">
        <v>277</v>
      </c>
      <c r="C25" s="25"/>
      <c r="D25" s="21">
        <f>+D19-D21+D23</f>
        <v>11601.760000000002</v>
      </c>
      <c r="E25" s="13"/>
      <c r="F25" s="20">
        <f>IF(D$12=0,0,D25/D$12)</f>
        <v>0.20136752937827665</v>
      </c>
      <c r="G25" s="13"/>
      <c r="H25" s="21">
        <f>+H19-H21+H23</f>
        <v>25933</v>
      </c>
      <c r="I25" s="13"/>
      <c r="J25" s="20">
        <f>IF(H$12=0,0,H25/H$12)</f>
        <v>0.27500238597681892</v>
      </c>
      <c r="K25" s="16"/>
      <c r="L25" s="21">
        <f>+D25-H25</f>
        <v>-14331.239999999998</v>
      </c>
      <c r="M25" s="16"/>
      <c r="N25" s="20">
        <f>IF(H25=0,0,L25/H25)</f>
        <v>-0.55262561215439776</v>
      </c>
      <c r="O25" s="26"/>
      <c r="P25" s="21">
        <f>+P19-P21+P23</f>
        <v>81795.659999999974</v>
      </c>
      <c r="Q25" s="13"/>
      <c r="R25" s="20">
        <f>IF(P$12=0,0,P25/P$12)</f>
        <v>0.24580282183990404</v>
      </c>
      <c r="S25" s="13"/>
      <c r="T25" s="21">
        <f>+T19-T21+T23</f>
        <v>250689</v>
      </c>
      <c r="U25" s="13"/>
      <c r="V25" s="20">
        <f>IF(T$12=0,0,T25/T$12)</f>
        <v>0.27499920469416927</v>
      </c>
      <c r="W25" s="16"/>
      <c r="X25" s="21">
        <f>+P25-T25</f>
        <v>-168893.34000000003</v>
      </c>
      <c r="Y25" s="16"/>
      <c r="Z25" s="20">
        <f>IF(T25=0,0,X25/T25)</f>
        <v>-0.67371659705850684</v>
      </c>
    </row>
    <row r="26" spans="1:26" x14ac:dyDescent="0.25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52"/>
      <c r="B27" s="10" t="s">
        <v>128</v>
      </c>
      <c r="C27" s="10"/>
      <c r="D27" s="4">
        <v>71.56</v>
      </c>
      <c r="E27" s="4"/>
      <c r="F27" s="12">
        <f>IF(D$12=0,0,D27/D$12)</f>
        <v>1.2420408974422393E-3</v>
      </c>
      <c r="G27" s="4"/>
      <c r="H27" s="4">
        <v>7453</v>
      </c>
      <c r="I27" s="4"/>
      <c r="J27" s="12">
        <f>IF(H$12=0,0,H27/H$12)</f>
        <v>7.903415658370537E-2</v>
      </c>
      <c r="K27" s="4"/>
      <c r="L27" s="4">
        <f>+D27-H27</f>
        <v>-7381.44</v>
      </c>
      <c r="M27" s="4"/>
      <c r="N27" s="12">
        <f>IF(H27=0,0,L27/H27)</f>
        <v>-0.99039849724942974</v>
      </c>
      <c r="O27" s="10"/>
      <c r="P27" s="4">
        <v>41188.74</v>
      </c>
      <c r="Q27" s="4"/>
      <c r="R27" s="12">
        <f>IF(P$12=0,0,P27/P$12)</f>
        <v>0.12377561988044515</v>
      </c>
      <c r="S27" s="4"/>
      <c r="T27" s="4">
        <v>98985</v>
      </c>
      <c r="U27" s="4"/>
      <c r="V27" s="12">
        <f>IF(T$12=0,0,T27/T$12)</f>
        <v>0.1085839278015882</v>
      </c>
      <c r="W27" s="4"/>
      <c r="X27" s="4">
        <f>+P27-T27</f>
        <v>-57796.26</v>
      </c>
      <c r="Y27" s="4"/>
      <c r="Z27" s="12">
        <f>IF(T27=0,0,X27/T27)</f>
        <v>-0.58388907410213675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5" t="s">
        <v>126</v>
      </c>
      <c r="C29" s="25"/>
      <c r="D29" s="33">
        <f>+D25-D27</f>
        <v>11530.200000000003</v>
      </c>
      <c r="E29" s="13"/>
      <c r="F29" s="31">
        <f>IF(D$12=0,0,D29/D$12)</f>
        <v>0.20012548848083442</v>
      </c>
      <c r="G29" s="13"/>
      <c r="H29" s="33">
        <f>+H25-H27</f>
        <v>18480</v>
      </c>
      <c r="I29" s="13"/>
      <c r="J29" s="31">
        <f>IF(H$12=0,0,H29/H$12)</f>
        <v>0.19596822939311354</v>
      </c>
      <c r="K29" s="16"/>
      <c r="L29" s="33">
        <f>D29-H29</f>
        <v>-6949.7999999999975</v>
      </c>
      <c r="M29" s="16"/>
      <c r="N29" s="31">
        <f>IF(H29=0,0,L29/H29)</f>
        <v>-0.37607142857142845</v>
      </c>
      <c r="O29" s="26"/>
      <c r="P29" s="33">
        <f>+P25-P27</f>
        <v>40606.919999999976</v>
      </c>
      <c r="Q29" s="13"/>
      <c r="R29" s="31">
        <f>IF(P$12=0,0,P29/P$12)</f>
        <v>0.12202720195945889</v>
      </c>
      <c r="S29" s="13"/>
      <c r="T29" s="33">
        <f>+T25-T27</f>
        <v>151704</v>
      </c>
      <c r="U29" s="13"/>
      <c r="V29" s="31">
        <f>IF(T$12=0,0,T29/T$12)</f>
        <v>0.16641527689258107</v>
      </c>
      <c r="W29" s="16"/>
      <c r="X29" s="33">
        <f>P29-T29</f>
        <v>-111097.08000000002</v>
      </c>
      <c r="Y29" s="16"/>
      <c r="Z29" s="31">
        <f>IF(T29=0,0,X29/T29)</f>
        <v>-0.73232795443758913</v>
      </c>
    </row>
    <row r="30" spans="1:26" ht="15.75" thickTop="1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x14ac:dyDescent="0.25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5" t="s">
        <v>294</v>
      </c>
      <c r="C32" s="25"/>
      <c r="D32" s="35">
        <f>SUM(D29:D31)</f>
        <v>11530.200000000003</v>
      </c>
      <c r="E32" s="13"/>
      <c r="F32" s="34">
        <f>IF(D$12=0,0,D32/D$12)</f>
        <v>0.20012548848083442</v>
      </c>
      <c r="G32" s="13"/>
      <c r="H32" s="35">
        <f>SUM(H29:H31)</f>
        <v>18480</v>
      </c>
      <c r="I32" s="13"/>
      <c r="J32" s="34">
        <f>IF(H$12=0,0,H32/H$12)</f>
        <v>0.19596822939311354</v>
      </c>
      <c r="K32" s="16"/>
      <c r="L32" s="35">
        <f>+D32-H32</f>
        <v>-6949.7999999999975</v>
      </c>
      <c r="M32" s="16"/>
      <c r="N32" s="34">
        <f>IF(H32=0,0,L32/H32)</f>
        <v>-0.37607142857142845</v>
      </c>
      <c r="O32" s="26"/>
      <c r="P32" s="35">
        <f>SUM(P29:P31)</f>
        <v>40606.919999999976</v>
      </c>
      <c r="Q32" s="13"/>
      <c r="R32" s="34">
        <f>IF(P$12=0,0,P32/P$12)</f>
        <v>0.12202720195945889</v>
      </c>
      <c r="S32" s="13"/>
      <c r="T32" s="35">
        <f>SUM(T29:T31)</f>
        <v>151704</v>
      </c>
      <c r="U32" s="13"/>
      <c r="V32" s="34">
        <f>IF(T$12=0,0,T32/T$12)</f>
        <v>0.16641527689258107</v>
      </c>
      <c r="W32" s="16"/>
      <c r="X32" s="35">
        <f>+P32-T32</f>
        <v>-111097.08000000002</v>
      </c>
      <c r="Y32" s="16"/>
      <c r="Z32" s="34">
        <f>IF(T32=0,0,X32/T32)</f>
        <v>-0.73232795443758913</v>
      </c>
    </row>
    <row r="33" spans="1:24" ht="15.75" thickTop="1" x14ac:dyDescent="0.25">
      <c r="A33" s="9"/>
      <c r="C33" s="9"/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61">
        <v>44481.978956793981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6" t="s">
        <v>56</v>
      </c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A36" s="9"/>
      <c r="B36" s="54"/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4" x14ac:dyDescent="0.25"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outlinePr summaryBelow="0" summaryRight="0"/>
  </sheetPr>
  <dimension ref="A2:Z13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22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307898.32</v>
      </c>
      <c r="E12" s="4"/>
      <c r="F12" s="12"/>
      <c r="G12" s="4"/>
      <c r="H12" s="4">
        <f>SUM(OSRRefH13x_0)</f>
        <v>246410</v>
      </c>
      <c r="I12" s="4"/>
      <c r="J12" s="12"/>
      <c r="K12" s="4"/>
      <c r="L12" s="4">
        <f t="shared" ref="L12:L16" si="0">+D12-H12</f>
        <v>61488.320000000007</v>
      </c>
      <c r="M12" s="4"/>
      <c r="N12" s="12">
        <f t="shared" ref="N12:N16" si="1">IF(H12=0,0,L12/H12)</f>
        <v>0.24953662594862225</v>
      </c>
      <c r="O12" s="10"/>
      <c r="P12" s="4">
        <f>SUM(OSRRefP13x_0)</f>
        <v>894415.32000000007</v>
      </c>
      <c r="Q12" s="4"/>
      <c r="R12" s="12"/>
      <c r="S12" s="4"/>
      <c r="T12" s="4">
        <f>SUM(OSRRefT13x_0)</f>
        <v>932778</v>
      </c>
      <c r="U12" s="4"/>
      <c r="V12" s="12"/>
      <c r="W12" s="4"/>
      <c r="X12" s="4">
        <f t="shared" ref="X12:X16" si="2">+P12-T12</f>
        <v>-38362.679999999935</v>
      </c>
      <c r="Y12" s="4"/>
      <c r="Z12" s="12">
        <f t="shared" ref="Z12:Z16" si="3">IF(T12=0,0,X12/T12)</f>
        <v>-4.112734219717868E-2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--270767.95</f>
        <v>270767.95</v>
      </c>
      <c r="E13" s="2"/>
      <c r="F13" s="19"/>
      <c r="G13" s="2"/>
      <c r="H13" s="2">
        <v>246410</v>
      </c>
      <c r="I13" s="2"/>
      <c r="J13" s="19"/>
      <c r="K13" s="2"/>
      <c r="L13" s="2">
        <f t="shared" si="0"/>
        <v>24357.950000000012</v>
      </c>
      <c r="M13" s="2"/>
      <c r="N13" s="19">
        <f t="shared" si="1"/>
        <v>9.8851304736009143E-2</v>
      </c>
      <c r="O13" s="11"/>
      <c r="P13" s="2">
        <f>--835058.4</f>
        <v>835058.4</v>
      </c>
      <c r="Q13" s="2"/>
      <c r="R13" s="19"/>
      <c r="S13" s="2"/>
      <c r="T13" s="2">
        <v>932778</v>
      </c>
      <c r="U13" s="2"/>
      <c r="V13" s="19"/>
      <c r="W13" s="2"/>
      <c r="X13" s="2">
        <f t="shared" si="2"/>
        <v>-97719.599999999977</v>
      </c>
      <c r="Y13" s="2"/>
      <c r="Z13" s="19">
        <f t="shared" si="3"/>
        <v>-0.10476190476190474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--48117.26</f>
        <v>48117.26</v>
      </c>
      <c r="E14" s="2"/>
      <c r="F14" s="19"/>
      <c r="G14" s="2"/>
      <c r="H14" s="2"/>
      <c r="I14" s="2"/>
      <c r="J14" s="19"/>
      <c r="K14" s="2"/>
      <c r="L14" s="2">
        <f t="shared" si="0"/>
        <v>48117.26</v>
      </c>
      <c r="M14" s="2"/>
      <c r="N14" s="19">
        <f t="shared" si="1"/>
        <v>0</v>
      </c>
      <c r="O14" s="11"/>
      <c r="P14" s="2">
        <f>--83410.34</f>
        <v>83410.34</v>
      </c>
      <c r="Q14" s="2"/>
      <c r="R14" s="19"/>
      <c r="S14" s="2"/>
      <c r="T14" s="2"/>
      <c r="U14" s="2"/>
      <c r="V14" s="19"/>
      <c r="W14" s="2"/>
      <c r="X14" s="2">
        <f t="shared" si="2"/>
        <v>83410.34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"4200", " - ", "TAXABLE RETURNS")</f>
        <v xml:space="preserve">          4200 - TAXABLE RETURNS</v>
      </c>
      <c r="C15" s="11"/>
      <c r="D15" s="2">
        <f>-10646.11</f>
        <v>-10646.11</v>
      </c>
      <c r="E15" s="2"/>
      <c r="F15" s="19"/>
      <c r="G15" s="2"/>
      <c r="H15" s="2"/>
      <c r="I15" s="2"/>
      <c r="J15" s="19"/>
      <c r="K15" s="2"/>
      <c r="L15" s="2">
        <f t="shared" si="0"/>
        <v>-10646.11</v>
      </c>
      <c r="M15" s="2"/>
      <c r="N15" s="19">
        <f t="shared" si="1"/>
        <v>0</v>
      </c>
      <c r="O15" s="11"/>
      <c r="P15" s="2">
        <f>-23494.44</f>
        <v>-23494.44</v>
      </c>
      <c r="Q15" s="2"/>
      <c r="R15" s="19"/>
      <c r="S15" s="2"/>
      <c r="T15" s="2"/>
      <c r="U15" s="2"/>
      <c r="V15" s="19"/>
      <c r="W15" s="2"/>
      <c r="X15" s="2">
        <f t="shared" si="2"/>
        <v>-23494.44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"4300", " - ", "NON-TAX RETURNS")</f>
        <v xml:space="preserve">          4300 - NON-TAX RETURNS</v>
      </c>
      <c r="C16" s="11"/>
      <c r="D16" s="2">
        <f>-340.78</f>
        <v>-340.78</v>
      </c>
      <c r="E16" s="2"/>
      <c r="F16" s="19"/>
      <c r="G16" s="2"/>
      <c r="H16" s="2"/>
      <c r="I16" s="2"/>
      <c r="J16" s="19"/>
      <c r="K16" s="2"/>
      <c r="L16" s="2">
        <f t="shared" si="0"/>
        <v>-340.78</v>
      </c>
      <c r="M16" s="2"/>
      <c r="N16" s="19">
        <f t="shared" si="1"/>
        <v>0</v>
      </c>
      <c r="O16" s="11"/>
      <c r="P16" s="2">
        <f>-558.98</f>
        <v>-558.98</v>
      </c>
      <c r="Q16" s="2"/>
      <c r="R16" s="19"/>
      <c r="S16" s="2"/>
      <c r="T16" s="2"/>
      <c r="U16" s="2"/>
      <c r="V16" s="19"/>
      <c r="W16" s="2"/>
      <c r="X16" s="2">
        <f t="shared" si="2"/>
        <v>-558.98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257</v>
      </c>
      <c r="C18" s="10"/>
      <c r="D18" s="4">
        <f>SUM(OSRRefD16x_0)</f>
        <v>145176.92000000001</v>
      </c>
      <c r="E18" s="4"/>
      <c r="F18" s="12">
        <f t="shared" ref="F18:F37" si="4">IF(D$12=0,0,D18/D$12)</f>
        <v>0.47150929566617972</v>
      </c>
      <c r="G18" s="4"/>
      <c r="H18" s="4">
        <f>SUM(OSRRefH16x_0)</f>
        <v>120926</v>
      </c>
      <c r="I18" s="4"/>
      <c r="J18" s="12">
        <f t="shared" ref="J18:J37" si="5">IF(H$12=0,0,H18/H$12)</f>
        <v>0.49075118704598025</v>
      </c>
      <c r="K18" s="4"/>
      <c r="L18" s="4">
        <f t="shared" ref="L18:L37" si="6">+D18-H18</f>
        <v>24250.920000000013</v>
      </c>
      <c r="M18" s="4"/>
      <c r="N18" s="12">
        <f t="shared" ref="N18:N37" si="7">IF(H18=0,0,L18/H18)</f>
        <v>0.20054347286770433</v>
      </c>
      <c r="O18" s="10"/>
      <c r="P18" s="4">
        <f>SUM(OSRRefP16x_0)</f>
        <v>408097.54</v>
      </c>
      <c r="Q18" s="4"/>
      <c r="R18" s="12">
        <f t="shared" ref="R18:R37" si="8">IF(P$12=0,0,P18/P$12)</f>
        <v>0.45627297618292134</v>
      </c>
      <c r="S18" s="4"/>
      <c r="T18" s="4">
        <f>SUM(OSRRefT16x_0)</f>
        <v>495386</v>
      </c>
      <c r="U18" s="4"/>
      <c r="V18" s="12">
        <f t="shared" ref="V18:V37" si="9">IF(T$12=0,0,T18/T$12)</f>
        <v>0.53108671087868708</v>
      </c>
      <c r="W18" s="4"/>
      <c r="X18" s="4">
        <f t="shared" ref="X18:X37" si="10">+P18-T18</f>
        <v>-87288.460000000021</v>
      </c>
      <c r="Y18" s="4"/>
      <c r="Z18" s="12">
        <f t="shared" ref="Z18:Z37" si="11">IF(T18=0,0,X18/T18)</f>
        <v>-0.17620292055084322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134247.25</v>
      </c>
      <c r="E19" s="2"/>
      <c r="F19" s="19">
        <f t="shared" si="4"/>
        <v>0.43601163526972148</v>
      </c>
      <c r="G19" s="2"/>
      <c r="H19" s="2">
        <v>120926</v>
      </c>
      <c r="I19" s="2"/>
      <c r="J19" s="19">
        <f t="shared" si="5"/>
        <v>0.49075118704598025</v>
      </c>
      <c r="K19" s="2"/>
      <c r="L19" s="2">
        <f t="shared" si="6"/>
        <v>13321.25</v>
      </c>
      <c r="M19" s="2"/>
      <c r="N19" s="19">
        <f t="shared" si="7"/>
        <v>0.11016034599672526</v>
      </c>
      <c r="O19" s="11"/>
      <c r="P19" s="2">
        <v>278504.89</v>
      </c>
      <c r="Q19" s="2"/>
      <c r="R19" s="19">
        <f t="shared" si="8"/>
        <v>0.31138206577230809</v>
      </c>
      <c r="S19" s="2"/>
      <c r="T19" s="2">
        <v>495386</v>
      </c>
      <c r="U19" s="2"/>
      <c r="V19" s="19">
        <f t="shared" si="9"/>
        <v>0.53108671087868708</v>
      </c>
      <c r="W19" s="2"/>
      <c r="X19" s="2">
        <f t="shared" si="10"/>
        <v>-216881.11</v>
      </c>
      <c r="Y19" s="2"/>
      <c r="Z19" s="19">
        <f t="shared" si="11"/>
        <v>-0.43780225924834371</v>
      </c>
    </row>
    <row r="20" spans="1:26" s="24" customFormat="1" hidden="1" outlineLevel="1" x14ac:dyDescent="0.25">
      <c r="A20" s="44"/>
      <c r="B20" s="11" t="str">
        <f>CONCATENATE("          ", "5027", " - ", "PURCHASES @ COST-SCHOOL SUPPLI")</f>
        <v xml:space="preserve">          5027 - PURCHASES @ COST-SCHOOL SUPPLI</v>
      </c>
      <c r="C20" s="11"/>
      <c r="D20" s="2">
        <v>0</v>
      </c>
      <c r="E20" s="2"/>
      <c r="F20" s="19">
        <f t="shared" si="4"/>
        <v>0</v>
      </c>
      <c r="G20" s="2"/>
      <c r="H20" s="2"/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>
        <v>0</v>
      </c>
      <c r="Q20" s="2"/>
      <c r="R20" s="19">
        <f t="shared" si="8"/>
        <v>0</v>
      </c>
      <c r="S20" s="2"/>
      <c r="T20" s="2"/>
      <c r="U20" s="2"/>
      <c r="V20" s="19">
        <f t="shared" si="9"/>
        <v>0</v>
      </c>
      <c r="W20" s="2"/>
      <c r="X20" s="2">
        <f t="shared" si="10"/>
        <v>0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"5028", " - ", "PURCHASES @ COST-ART/TECH")</f>
        <v xml:space="preserve">          5028 - PURCHASES @ COST-ART/TECH</v>
      </c>
      <c r="C21" s="11"/>
      <c r="D21" s="2">
        <v>0</v>
      </c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25">
      <c r="A22" s="44"/>
      <c r="B22" s="11" t="str">
        <f>CONCATENATE("          ", "5031", " - ", "PURCHASES @ COST-FOOD")</f>
        <v xml:space="preserve">          5031 - PURCHASES @ COST-FOOD</v>
      </c>
      <c r="C22" s="11"/>
      <c r="D22" s="2">
        <v>0</v>
      </c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"5040", " - ", "PURCHASES @ COST-LOGO CLOTHING")</f>
        <v xml:space="preserve">          5040 - PURCHASES @ COST-LOGO CLOTHING</v>
      </c>
      <c r="C23" s="11"/>
      <c r="D23" s="2">
        <v>0</v>
      </c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25">
      <c r="A24" s="44"/>
      <c r="B24" s="11" t="str">
        <f>CONCATENATE("          ", "5041", " - ", "PURCHASES @ COST-LOGO GIFTS")</f>
        <v xml:space="preserve">          5041 - PURCHASES @ COST-LOGO GIFTS</v>
      </c>
      <c r="C24" s="11"/>
      <c r="D24" s="2">
        <v>0</v>
      </c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25">
      <c r="A25" s="44"/>
      <c r="B25" s="11" t="str">
        <f>CONCATENATE("          ", "5042", " - ", "PURCHASES @ COST-EVERYDAY GIFT")</f>
        <v xml:space="preserve">          5042 - PURCHASES @ COST-EVERYDAY GIFT</v>
      </c>
      <c r="C25" s="11"/>
      <c r="D25" s="2"/>
      <c r="E25" s="2"/>
      <c r="F25" s="19">
        <f t="shared" si="4"/>
        <v>0</v>
      </c>
      <c r="G25" s="2"/>
      <c r="H25" s="2"/>
      <c r="I25" s="2"/>
      <c r="J25" s="19">
        <f t="shared" si="5"/>
        <v>0</v>
      </c>
      <c r="K25" s="2"/>
      <c r="L25" s="2">
        <f t="shared" si="6"/>
        <v>0</v>
      </c>
      <c r="M25" s="2"/>
      <c r="N25" s="19">
        <f t="shared" si="7"/>
        <v>0</v>
      </c>
      <c r="O25" s="11"/>
      <c r="P25" s="2">
        <v>0</v>
      </c>
      <c r="Q25" s="2"/>
      <c r="R25" s="19">
        <f t="shared" si="8"/>
        <v>0</v>
      </c>
      <c r="S25" s="2"/>
      <c r="T25" s="2"/>
      <c r="U25" s="2"/>
      <c r="V25" s="19">
        <f t="shared" si="9"/>
        <v>0</v>
      </c>
      <c r="W25" s="2"/>
      <c r="X25" s="2">
        <f t="shared" si="10"/>
        <v>0</v>
      </c>
      <c r="Y25" s="2"/>
      <c r="Z25" s="19">
        <f t="shared" si="11"/>
        <v>0</v>
      </c>
    </row>
    <row r="26" spans="1:26" s="24" customFormat="1" hidden="1" outlineLevel="1" x14ac:dyDescent="0.25">
      <c r="A26" s="44"/>
      <c r="B26" s="11" t="str">
        <f>CONCATENATE("          ", "5043", " - ", "PURCHASES @ COST-CARDS")</f>
        <v xml:space="preserve">          5043 - PURCHASES @ COST-CARDS</v>
      </c>
      <c r="C26" s="11"/>
      <c r="D26" s="2"/>
      <c r="E26" s="2"/>
      <c r="F26" s="19">
        <f t="shared" si="4"/>
        <v>0</v>
      </c>
      <c r="G26" s="2"/>
      <c r="H26" s="2"/>
      <c r="I26" s="2"/>
      <c r="J26" s="19">
        <f t="shared" si="5"/>
        <v>0</v>
      </c>
      <c r="K26" s="2"/>
      <c r="L26" s="2">
        <f t="shared" si="6"/>
        <v>0</v>
      </c>
      <c r="M26" s="2"/>
      <c r="N26" s="19">
        <f t="shared" si="7"/>
        <v>0</v>
      </c>
      <c r="O26" s="11"/>
      <c r="P26" s="2">
        <v>0</v>
      </c>
      <c r="Q26" s="2"/>
      <c r="R26" s="19">
        <f t="shared" si="8"/>
        <v>0</v>
      </c>
      <c r="S26" s="2"/>
      <c r="T26" s="2"/>
      <c r="U26" s="2"/>
      <c r="V26" s="19">
        <f t="shared" si="9"/>
        <v>0</v>
      </c>
      <c r="W26" s="2"/>
      <c r="X26" s="2">
        <f t="shared" si="10"/>
        <v>0</v>
      </c>
      <c r="Y26" s="2"/>
      <c r="Z26" s="19">
        <f t="shared" si="11"/>
        <v>0</v>
      </c>
    </row>
    <row r="27" spans="1:26" s="24" customFormat="1" hidden="1" outlineLevel="1" x14ac:dyDescent="0.25">
      <c r="A27" s="44"/>
      <c r="B27" s="11" t="str">
        <f>CONCATENATE("          ", "5044", " - ", "PURCHASES @ COST-ACCESSORIES")</f>
        <v xml:space="preserve">          5044 - PURCHASES @ COST-ACCESSORIES</v>
      </c>
      <c r="C27" s="11"/>
      <c r="D27" s="2"/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25">
      <c r="A28" s="44"/>
      <c r="B28" s="11" t="str">
        <f>CONCATENATE("          ", "5045", " - ", "PURCHASES @ COST-SPECIAL ORDER")</f>
        <v xml:space="preserve">          5045 - PURCHASES @ COST-SPECIAL ORDER</v>
      </c>
      <c r="C28" s="11"/>
      <c r="D28" s="2">
        <v>0</v>
      </c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25">
      <c r="A29" s="44"/>
      <c r="B29" s="11" t="str">
        <f>CONCATENATE("          ", "5200", " - ", "PURCHASES OFFSET")</f>
        <v xml:space="preserve">          5200 - PURCHASES OFFSET</v>
      </c>
      <c r="C29" s="11"/>
      <c r="D29" s="2">
        <v>-137158.98000000001</v>
      </c>
      <c r="E29" s="2"/>
      <c r="F29" s="19">
        <f t="shared" si="4"/>
        <v>-0.44546842607000908</v>
      </c>
      <c r="G29" s="2"/>
      <c r="H29" s="2"/>
      <c r="I29" s="2"/>
      <c r="J29" s="19">
        <f t="shared" si="5"/>
        <v>0</v>
      </c>
      <c r="K29" s="2"/>
      <c r="L29" s="2">
        <f t="shared" si="6"/>
        <v>-137158.98000000001</v>
      </c>
      <c r="M29" s="2"/>
      <c r="N29" s="19">
        <f t="shared" si="7"/>
        <v>0</v>
      </c>
      <c r="O29" s="11"/>
      <c r="P29" s="2">
        <v>-285827.11</v>
      </c>
      <c r="Q29" s="2"/>
      <c r="R29" s="19">
        <f t="shared" si="8"/>
        <v>-0.31956866525944566</v>
      </c>
      <c r="S29" s="2"/>
      <c r="T29" s="2"/>
      <c r="U29" s="2"/>
      <c r="V29" s="19">
        <f t="shared" si="9"/>
        <v>0</v>
      </c>
      <c r="W29" s="2"/>
      <c r="X29" s="2">
        <f t="shared" si="10"/>
        <v>-285827.11</v>
      </c>
      <c r="Y29" s="2"/>
      <c r="Z29" s="19">
        <f t="shared" si="11"/>
        <v>0</v>
      </c>
    </row>
    <row r="30" spans="1:26" s="24" customFormat="1" hidden="1" outlineLevel="1" x14ac:dyDescent="0.25">
      <c r="A30" s="44"/>
      <c r="B30" s="11" t="str">
        <f>CONCATENATE("          ", "5300", " - ", "COG$ OFFSET")</f>
        <v xml:space="preserve">          5300 - COG$ OFFSET</v>
      </c>
      <c r="C30" s="11"/>
      <c r="D30" s="2">
        <v>145176.92000000001</v>
      </c>
      <c r="E30" s="2"/>
      <c r="F30" s="19">
        <f t="shared" si="4"/>
        <v>0.47150929566617972</v>
      </c>
      <c r="G30" s="2"/>
      <c r="H30" s="2"/>
      <c r="I30" s="2"/>
      <c r="J30" s="19">
        <f t="shared" si="5"/>
        <v>0</v>
      </c>
      <c r="K30" s="2"/>
      <c r="L30" s="2">
        <f t="shared" si="6"/>
        <v>145176.92000000001</v>
      </c>
      <c r="M30" s="2"/>
      <c r="N30" s="19">
        <f t="shared" si="7"/>
        <v>0</v>
      </c>
      <c r="O30" s="11"/>
      <c r="P30" s="2">
        <v>408097.54</v>
      </c>
      <c r="Q30" s="2"/>
      <c r="R30" s="19">
        <f t="shared" si="8"/>
        <v>0.45627297618292134</v>
      </c>
      <c r="S30" s="2"/>
      <c r="T30" s="2"/>
      <c r="U30" s="2"/>
      <c r="V30" s="19">
        <f t="shared" si="9"/>
        <v>0</v>
      </c>
      <c r="W30" s="2"/>
      <c r="X30" s="2">
        <f t="shared" si="10"/>
        <v>408097.54</v>
      </c>
      <c r="Y30" s="2"/>
      <c r="Z30" s="19">
        <f t="shared" si="11"/>
        <v>0</v>
      </c>
    </row>
    <row r="31" spans="1:26" s="24" customFormat="1" hidden="1" outlineLevel="1" x14ac:dyDescent="0.25">
      <c r="A31" s="44"/>
      <c r="B31" s="11" t="str">
        <f>CONCATENATE("          ", "5500", " - ", "FREIGHT-IN")</f>
        <v xml:space="preserve">          5500 - FREIGHT-IN</v>
      </c>
      <c r="C31" s="11"/>
      <c r="D31" s="2">
        <v>2911.73</v>
      </c>
      <c r="E31" s="2"/>
      <c r="F31" s="19">
        <f t="shared" si="4"/>
        <v>9.4567908002875754E-3</v>
      </c>
      <c r="G31" s="2"/>
      <c r="H31" s="2"/>
      <c r="I31" s="2"/>
      <c r="J31" s="19">
        <f t="shared" si="5"/>
        <v>0</v>
      </c>
      <c r="K31" s="2"/>
      <c r="L31" s="2">
        <f t="shared" si="6"/>
        <v>2911.73</v>
      </c>
      <c r="M31" s="2"/>
      <c r="N31" s="19">
        <f t="shared" si="7"/>
        <v>0</v>
      </c>
      <c r="O31" s="11"/>
      <c r="P31" s="2">
        <v>7322.22</v>
      </c>
      <c r="Q31" s="2"/>
      <c r="R31" s="19">
        <f t="shared" si="8"/>
        <v>8.1865994871375865E-3</v>
      </c>
      <c r="S31" s="2"/>
      <c r="T31" s="2"/>
      <c r="U31" s="2"/>
      <c r="V31" s="19">
        <f t="shared" si="9"/>
        <v>0</v>
      </c>
      <c r="W31" s="2"/>
      <c r="X31" s="2">
        <f t="shared" si="10"/>
        <v>7322.22</v>
      </c>
      <c r="Y31" s="2"/>
      <c r="Z31" s="19">
        <f t="shared" si="11"/>
        <v>0</v>
      </c>
    </row>
    <row r="32" spans="1:26" s="24" customFormat="1" hidden="1" outlineLevel="1" x14ac:dyDescent="0.25">
      <c r="A32" s="44"/>
      <c r="B32" s="11" t="str">
        <f>CONCATENATE("          ", "5527", " - ", "FREIGHT-IN-SCHOOL SUPPLIES")</f>
        <v xml:space="preserve">          5527 - FREIGHT-IN-SCHOOL SUPPLIES</v>
      </c>
      <c r="C32" s="11"/>
      <c r="D32" s="2"/>
      <c r="E32" s="2"/>
      <c r="F32" s="19">
        <f t="shared" si="4"/>
        <v>0</v>
      </c>
      <c r="G32" s="2"/>
      <c r="H32" s="2"/>
      <c r="I32" s="2"/>
      <c r="J32" s="19">
        <f t="shared" si="5"/>
        <v>0</v>
      </c>
      <c r="K32" s="2"/>
      <c r="L32" s="2">
        <f t="shared" si="6"/>
        <v>0</v>
      </c>
      <c r="M32" s="2"/>
      <c r="N32" s="19">
        <f t="shared" si="7"/>
        <v>0</v>
      </c>
      <c r="O32" s="11"/>
      <c r="P32" s="2">
        <v>0</v>
      </c>
      <c r="Q32" s="2"/>
      <c r="R32" s="19">
        <f t="shared" si="8"/>
        <v>0</v>
      </c>
      <c r="S32" s="2"/>
      <c r="T32" s="2"/>
      <c r="U32" s="2"/>
      <c r="V32" s="19">
        <f t="shared" si="9"/>
        <v>0</v>
      </c>
      <c r="W32" s="2"/>
      <c r="X32" s="2">
        <f t="shared" si="10"/>
        <v>0</v>
      </c>
      <c r="Y32" s="2"/>
      <c r="Z32" s="19">
        <f t="shared" si="11"/>
        <v>0</v>
      </c>
    </row>
    <row r="33" spans="1:26" s="24" customFormat="1" hidden="1" outlineLevel="1" x14ac:dyDescent="0.25">
      <c r="A33" s="44"/>
      <c r="B33" s="11" t="str">
        <f>CONCATENATE("          ", "5540", " - ", "FREIGHT-IN-LOGO CLOTHING")</f>
        <v xml:space="preserve">          5540 - FREIGHT-IN-LOGO CLOTHING</v>
      </c>
      <c r="C33" s="11"/>
      <c r="D33" s="2"/>
      <c r="E33" s="2"/>
      <c r="F33" s="19">
        <f t="shared" si="4"/>
        <v>0</v>
      </c>
      <c r="G33" s="2"/>
      <c r="H33" s="2"/>
      <c r="I33" s="2"/>
      <c r="J33" s="19">
        <f t="shared" si="5"/>
        <v>0</v>
      </c>
      <c r="K33" s="2"/>
      <c r="L33" s="2">
        <f t="shared" si="6"/>
        <v>0</v>
      </c>
      <c r="M33" s="2"/>
      <c r="N33" s="19">
        <f t="shared" si="7"/>
        <v>0</v>
      </c>
      <c r="O33" s="11"/>
      <c r="P33" s="2">
        <v>0</v>
      </c>
      <c r="Q33" s="2"/>
      <c r="R33" s="19">
        <f t="shared" si="8"/>
        <v>0</v>
      </c>
      <c r="S33" s="2"/>
      <c r="T33" s="2"/>
      <c r="U33" s="2"/>
      <c r="V33" s="19">
        <f t="shared" si="9"/>
        <v>0</v>
      </c>
      <c r="W33" s="2"/>
      <c r="X33" s="2">
        <f t="shared" si="10"/>
        <v>0</v>
      </c>
      <c r="Y33" s="2"/>
      <c r="Z33" s="19">
        <f t="shared" si="11"/>
        <v>0</v>
      </c>
    </row>
    <row r="34" spans="1:26" s="24" customFormat="1" hidden="1" outlineLevel="1" x14ac:dyDescent="0.25">
      <c r="A34" s="44"/>
      <c r="B34" s="11" t="str">
        <f>CONCATENATE("          ", "5541", " - ", "FREIGHT-IN-LOGO GIFTS")</f>
        <v xml:space="preserve">          5541 - FREIGHT-IN-LOGO GIFTS</v>
      </c>
      <c r="C34" s="11"/>
      <c r="D34" s="2">
        <v>0</v>
      </c>
      <c r="E34" s="2"/>
      <c r="F34" s="19">
        <f t="shared" si="4"/>
        <v>0</v>
      </c>
      <c r="G34" s="2"/>
      <c r="H34" s="2"/>
      <c r="I34" s="2"/>
      <c r="J34" s="19">
        <f t="shared" si="5"/>
        <v>0</v>
      </c>
      <c r="K34" s="2"/>
      <c r="L34" s="2">
        <f t="shared" si="6"/>
        <v>0</v>
      </c>
      <c r="M34" s="2"/>
      <c r="N34" s="19">
        <f t="shared" si="7"/>
        <v>0</v>
      </c>
      <c r="O34" s="11"/>
      <c r="P34" s="2">
        <v>0</v>
      </c>
      <c r="Q34" s="2"/>
      <c r="R34" s="19">
        <f t="shared" si="8"/>
        <v>0</v>
      </c>
      <c r="S34" s="2"/>
      <c r="T34" s="2"/>
      <c r="U34" s="2"/>
      <c r="V34" s="19">
        <f t="shared" si="9"/>
        <v>0</v>
      </c>
      <c r="W34" s="2"/>
      <c r="X34" s="2">
        <f t="shared" si="10"/>
        <v>0</v>
      </c>
      <c r="Y34" s="2"/>
      <c r="Z34" s="19">
        <f t="shared" si="11"/>
        <v>0</v>
      </c>
    </row>
    <row r="35" spans="1:26" s="24" customFormat="1" hidden="1" outlineLevel="1" x14ac:dyDescent="0.25">
      <c r="A35" s="44"/>
      <c r="B35" s="11" t="str">
        <f>CONCATENATE("          ", "5542", " - ", "FREIGHT-IN-EVERYDAY GIFTS")</f>
        <v xml:space="preserve">          5542 - FREIGHT-IN-EVERYDAY GIFTS</v>
      </c>
      <c r="C35" s="11"/>
      <c r="D35" s="2"/>
      <c r="E35" s="2"/>
      <c r="F35" s="19">
        <f t="shared" si="4"/>
        <v>0</v>
      </c>
      <c r="G35" s="2"/>
      <c r="H35" s="2"/>
      <c r="I35" s="2"/>
      <c r="J35" s="19">
        <f t="shared" si="5"/>
        <v>0</v>
      </c>
      <c r="K35" s="2"/>
      <c r="L35" s="2">
        <f t="shared" si="6"/>
        <v>0</v>
      </c>
      <c r="M35" s="2"/>
      <c r="N35" s="19">
        <f t="shared" si="7"/>
        <v>0</v>
      </c>
      <c r="O35" s="11"/>
      <c r="P35" s="2">
        <v>0</v>
      </c>
      <c r="Q35" s="2"/>
      <c r="R35" s="19">
        <f t="shared" si="8"/>
        <v>0</v>
      </c>
      <c r="S35" s="2"/>
      <c r="T35" s="2"/>
      <c r="U35" s="2"/>
      <c r="V35" s="19">
        <f t="shared" si="9"/>
        <v>0</v>
      </c>
      <c r="W35" s="2"/>
      <c r="X35" s="2">
        <f t="shared" si="10"/>
        <v>0</v>
      </c>
      <c r="Y35" s="2"/>
      <c r="Z35" s="19">
        <f t="shared" si="11"/>
        <v>0</v>
      </c>
    </row>
    <row r="36" spans="1:26" s="24" customFormat="1" hidden="1" outlineLevel="1" x14ac:dyDescent="0.25">
      <c r="A36" s="44"/>
      <c r="B36" s="11" t="str">
        <f>CONCATENATE("          ", "5544", " - ", "FREIGHT-IN-ACCESSORIES")</f>
        <v xml:space="preserve">          5544 - FREIGHT-IN-ACCESSORIES</v>
      </c>
      <c r="C36" s="11"/>
      <c r="D36" s="2"/>
      <c r="E36" s="2"/>
      <c r="F36" s="19">
        <f t="shared" si="4"/>
        <v>0</v>
      </c>
      <c r="G36" s="2"/>
      <c r="H36" s="2"/>
      <c r="I36" s="2"/>
      <c r="J36" s="19">
        <f t="shared" si="5"/>
        <v>0</v>
      </c>
      <c r="K36" s="2"/>
      <c r="L36" s="2">
        <f t="shared" si="6"/>
        <v>0</v>
      </c>
      <c r="M36" s="2"/>
      <c r="N36" s="19">
        <f t="shared" si="7"/>
        <v>0</v>
      </c>
      <c r="O36" s="11"/>
      <c r="P36" s="2">
        <v>0</v>
      </c>
      <c r="Q36" s="2"/>
      <c r="R36" s="19">
        <f t="shared" si="8"/>
        <v>0</v>
      </c>
      <c r="S36" s="2"/>
      <c r="T36" s="2"/>
      <c r="U36" s="2"/>
      <c r="V36" s="19">
        <f t="shared" si="9"/>
        <v>0</v>
      </c>
      <c r="W36" s="2"/>
      <c r="X36" s="2">
        <f t="shared" si="10"/>
        <v>0</v>
      </c>
      <c r="Y36" s="2"/>
      <c r="Z36" s="19">
        <f t="shared" si="11"/>
        <v>0</v>
      </c>
    </row>
    <row r="37" spans="1:26" s="24" customFormat="1" hidden="1" outlineLevel="1" x14ac:dyDescent="0.25">
      <c r="A37" s="44"/>
      <c r="B37" s="11" t="str">
        <f>CONCATENATE("          ", "5545", " - ", "FREIGHT-IN-SPECIAL ORDERS")</f>
        <v xml:space="preserve">          5545 - FREIGHT-IN-SPECIAL ORDERS</v>
      </c>
      <c r="C37" s="11"/>
      <c r="D37" s="2"/>
      <c r="E37" s="2"/>
      <c r="F37" s="19">
        <f t="shared" si="4"/>
        <v>0</v>
      </c>
      <c r="G37" s="2"/>
      <c r="H37" s="2"/>
      <c r="I37" s="2"/>
      <c r="J37" s="19">
        <f t="shared" si="5"/>
        <v>0</v>
      </c>
      <c r="K37" s="2"/>
      <c r="L37" s="2">
        <f t="shared" si="6"/>
        <v>0</v>
      </c>
      <c r="M37" s="2"/>
      <c r="N37" s="19">
        <f t="shared" si="7"/>
        <v>0</v>
      </c>
      <c r="O37" s="11"/>
      <c r="P37" s="2">
        <v>0</v>
      </c>
      <c r="Q37" s="2"/>
      <c r="R37" s="19">
        <f t="shared" si="8"/>
        <v>0</v>
      </c>
      <c r="S37" s="2"/>
      <c r="T37" s="2"/>
      <c r="U37" s="2"/>
      <c r="V37" s="19">
        <f t="shared" si="9"/>
        <v>0</v>
      </c>
      <c r="W37" s="2"/>
      <c r="X37" s="2">
        <f t="shared" si="10"/>
        <v>0</v>
      </c>
      <c r="Y37" s="2"/>
      <c r="Z37" s="19">
        <f t="shared" si="11"/>
        <v>0</v>
      </c>
    </row>
    <row r="38" spans="1:26" x14ac:dyDescent="0.25">
      <c r="A38" s="9"/>
      <c r="B38" s="10"/>
      <c r="C38" s="10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O38" s="10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25">
      <c r="A39" s="10"/>
      <c r="B39" s="25" t="s">
        <v>108</v>
      </c>
      <c r="C39" s="25"/>
      <c r="D39" s="21">
        <f>D12-D18</f>
        <v>162721.4</v>
      </c>
      <c r="E39" s="13"/>
      <c r="F39" s="20">
        <f>IF(D$12=0,0,D39/D$12)</f>
        <v>0.52849070433382028</v>
      </c>
      <c r="G39" s="13"/>
      <c r="H39" s="21">
        <f>H12-H18</f>
        <v>125484</v>
      </c>
      <c r="I39" s="13"/>
      <c r="J39" s="20">
        <f>IF(H$12=0,0,H39/H$12)</f>
        <v>0.50924881295401969</v>
      </c>
      <c r="K39" s="16"/>
      <c r="L39" s="21">
        <f>+D39-H39</f>
        <v>37237.399999999994</v>
      </c>
      <c r="M39" s="16"/>
      <c r="N39" s="20">
        <f>IF(H39=0,0,L39/H39)</f>
        <v>0.2967501832902999</v>
      </c>
      <c r="O39" s="26"/>
      <c r="P39" s="21">
        <f>P12-P18</f>
        <v>486317.78000000009</v>
      </c>
      <c r="Q39" s="13"/>
      <c r="R39" s="20">
        <f>IF(P$12=0,0,P39/P$12)</f>
        <v>0.54372702381707871</v>
      </c>
      <c r="S39" s="13"/>
      <c r="T39" s="21">
        <f>T12-T18</f>
        <v>437392</v>
      </c>
      <c r="U39" s="13"/>
      <c r="V39" s="20">
        <f>IF(T$12=0,0,T39/T$12)</f>
        <v>0.46891328912131292</v>
      </c>
      <c r="W39" s="16"/>
      <c r="X39" s="21">
        <f>+P39-T39</f>
        <v>48925.780000000086</v>
      </c>
      <c r="Y39" s="16"/>
      <c r="Z39" s="20">
        <f>IF(T39=0,0,X39/T39)</f>
        <v>0.11185796722390919</v>
      </c>
    </row>
    <row r="40" spans="1:26" x14ac:dyDescent="0.25">
      <c r="A40" s="9"/>
      <c r="B40" s="10"/>
      <c r="C40" s="9"/>
      <c r="D40" s="1"/>
      <c r="E40" s="1"/>
      <c r="F40" s="5"/>
      <c r="G40" s="1"/>
      <c r="H40" s="1"/>
      <c r="I40" s="1"/>
      <c r="J40" s="5"/>
      <c r="K40" s="1"/>
      <c r="L40" s="1"/>
      <c r="M40" s="1"/>
      <c r="N40" s="5"/>
      <c r="O40" s="36"/>
      <c r="P40" s="1"/>
      <c r="Q40" s="1"/>
      <c r="R40" s="5"/>
      <c r="S40" s="1"/>
      <c r="T40" s="1"/>
      <c r="U40" s="1"/>
      <c r="V40" s="5"/>
      <c r="W40" s="1"/>
      <c r="X40" s="1"/>
      <c r="Y40" s="1"/>
      <c r="Z40" s="5"/>
    </row>
    <row r="41" spans="1:26" s="23" customFormat="1" x14ac:dyDescent="0.25">
      <c r="A41" s="10"/>
      <c r="B41" s="26" t="s">
        <v>295</v>
      </c>
      <c r="C41" s="10"/>
      <c r="D41" s="22">
        <f>SUM(OSRRefD22x_0)</f>
        <v>85301.440000000002</v>
      </c>
      <c r="E41" s="22"/>
      <c r="F41" s="32">
        <f t="shared" ref="F41:F51" si="12">IF(D$12=0,0,D41/D$12)</f>
        <v>0.27704418783447732</v>
      </c>
      <c r="G41" s="22"/>
      <c r="H41" s="22">
        <f>SUM(OSRRefH22x_0)</f>
        <v>95794.496517692329</v>
      </c>
      <c r="I41" s="22"/>
      <c r="J41" s="32">
        <f t="shared" ref="J41:J51" si="13">IF(H$12=0,0,H41/H$12)</f>
        <v>0.38876058811611675</v>
      </c>
      <c r="K41" s="4"/>
      <c r="L41" s="22">
        <f t="shared" ref="L41:L51" si="14">+D41-H41</f>
        <v>-10493.056517692326</v>
      </c>
      <c r="M41" s="4"/>
      <c r="N41" s="32">
        <f t="shared" ref="N41:N51" si="15">IF(H41=0,0,L41/H41)</f>
        <v>-0.10953715400293752</v>
      </c>
      <c r="O41" s="10"/>
      <c r="P41" s="22">
        <f>SUM(OSRRefP22x_0)</f>
        <v>280313.5199999999</v>
      </c>
      <c r="Q41" s="22"/>
      <c r="R41" s="32">
        <f t="shared" ref="R41:R51" si="16">IF(P$12=0,0,P41/P$12)</f>
        <v>0.31340420242354511</v>
      </c>
      <c r="S41" s="22"/>
      <c r="T41" s="22">
        <f>SUM(OSRRefT22x_0)</f>
        <v>312104.88461000001</v>
      </c>
      <c r="U41" s="22"/>
      <c r="V41" s="32">
        <f t="shared" ref="V41:V51" si="17">IF(T$12=0,0,T41/T$12)</f>
        <v>0.33459717597327554</v>
      </c>
      <c r="W41" s="4"/>
      <c r="X41" s="22">
        <f t="shared" ref="X41:X51" si="18">+P41-T41</f>
        <v>-31791.364610000106</v>
      </c>
      <c r="Y41" s="4"/>
      <c r="Z41" s="32">
        <f t="shared" ref="Z41:Z51" si="19">IF(T41=0,0,X41/T41)</f>
        <v>-0.1018611568663078</v>
      </c>
    </row>
    <row r="42" spans="1:26" s="28" customFormat="1" outlineLevel="1" collapsed="1" x14ac:dyDescent="0.25">
      <c r="A42" s="27"/>
      <c r="B42" s="14" t="str">
        <f>CONCATENATE("     ","*Benefits                                         ")</f>
        <v xml:space="preserve">     *Benefits                                         </v>
      </c>
      <c r="C42" s="14"/>
      <c r="D42" s="1">
        <f>SUM(OSRRefD22_0x_0)</f>
        <v>13393.95</v>
      </c>
      <c r="E42" s="1"/>
      <c r="F42" s="5">
        <f t="shared" si="12"/>
        <v>4.350121169871924E-2</v>
      </c>
      <c r="G42" s="1"/>
      <c r="H42" s="1">
        <f>SUM(OSRRefH22_0x_0)</f>
        <v>19939.288825384625</v>
      </c>
      <c r="I42" s="1"/>
      <c r="J42" s="5">
        <f t="shared" si="13"/>
        <v>8.0919154358121123E-2</v>
      </c>
      <c r="K42" s="1"/>
      <c r="L42" s="1">
        <f t="shared" si="14"/>
        <v>-6545.3388253846242</v>
      </c>
      <c r="M42" s="1"/>
      <c r="N42" s="5">
        <f t="shared" si="15"/>
        <v>-0.32826340411157395</v>
      </c>
      <c r="O42" s="14"/>
      <c r="P42" s="1">
        <f>SUM(OSRRefP22_0x_0)</f>
        <v>42206.54</v>
      </c>
      <c r="Q42" s="1"/>
      <c r="R42" s="5">
        <f t="shared" si="16"/>
        <v>4.7188972568135347E-2</v>
      </c>
      <c r="S42" s="1"/>
      <c r="T42" s="1">
        <f>SUM(OSRRefT22_0x_0)</f>
        <v>58880.209609999998</v>
      </c>
      <c r="U42" s="1"/>
      <c r="V42" s="5">
        <f t="shared" si="17"/>
        <v>6.3123497348779659E-2</v>
      </c>
      <c r="W42" s="1"/>
      <c r="X42" s="1">
        <f t="shared" si="18"/>
        <v>-16673.669609999997</v>
      </c>
      <c r="Y42" s="1"/>
      <c r="Z42" s="5">
        <f t="shared" si="19"/>
        <v>-0.28317952195550949</v>
      </c>
    </row>
    <row r="43" spans="1:26" s="24" customFormat="1" hidden="1" outlineLevel="2" x14ac:dyDescent="0.25">
      <c r="A43" s="29"/>
      <c r="B43" s="11" t="str">
        <f>CONCATENATE("          ", "6111", " - ", "F.I.C.A.")</f>
        <v xml:space="preserve">          6111 - F.I.C.A.</v>
      </c>
      <c r="C43" s="11"/>
      <c r="D43" s="7">
        <v>2336.11</v>
      </c>
      <c r="E43" s="2"/>
      <c r="F43" s="6">
        <f t="shared" si="12"/>
        <v>7.5872775142131338E-3</v>
      </c>
      <c r="G43" s="2"/>
      <c r="H43" s="7">
        <v>4823.3974407692303</v>
      </c>
      <c r="I43" s="2"/>
      <c r="J43" s="6">
        <f t="shared" si="13"/>
        <v>1.9574682199461183E-2</v>
      </c>
      <c r="K43" s="2"/>
      <c r="L43" s="7">
        <f t="shared" si="14"/>
        <v>-2487.2874407692302</v>
      </c>
      <c r="M43" s="2"/>
      <c r="N43" s="6">
        <f t="shared" si="15"/>
        <v>-0.51567126103806205</v>
      </c>
      <c r="O43" s="11"/>
      <c r="P43" s="7">
        <v>9776.2000000000007</v>
      </c>
      <c r="Q43" s="2"/>
      <c r="R43" s="6">
        <f t="shared" si="16"/>
        <v>1.093026894932882E-2</v>
      </c>
      <c r="S43" s="2"/>
      <c r="T43" s="7">
        <v>11306.312610000001</v>
      </c>
      <c r="U43" s="2"/>
      <c r="V43" s="6">
        <f t="shared" si="17"/>
        <v>1.2121118433324972E-2</v>
      </c>
      <c r="W43" s="2"/>
      <c r="X43" s="7">
        <f t="shared" si="18"/>
        <v>-1530.1126100000001</v>
      </c>
      <c r="Y43" s="2"/>
      <c r="Z43" s="6">
        <f t="shared" si="19"/>
        <v>-0.13533259363859038</v>
      </c>
    </row>
    <row r="44" spans="1:26" s="24" customFormat="1" hidden="1" outlineLevel="2" x14ac:dyDescent="0.25">
      <c r="A44" s="29"/>
      <c r="B44" s="11" t="str">
        <f>CONCATENATE("          ", "6112", " - ", "COMPENSATION INSURANCE")</f>
        <v xml:space="preserve">          6112 - COMPENSATION INSURANCE</v>
      </c>
      <c r="C44" s="11"/>
      <c r="D44" s="7">
        <v>879.41</v>
      </c>
      <c r="E44" s="2"/>
      <c r="F44" s="6">
        <f t="shared" si="12"/>
        <v>2.8561701798178046E-3</v>
      </c>
      <c r="G44" s="2"/>
      <c r="H44" s="7">
        <v>1017.888</v>
      </c>
      <c r="I44" s="2"/>
      <c r="J44" s="6">
        <f t="shared" si="13"/>
        <v>4.1308713120409074E-3</v>
      </c>
      <c r="K44" s="2"/>
      <c r="L44" s="7">
        <f t="shared" si="14"/>
        <v>-138.47800000000007</v>
      </c>
      <c r="M44" s="2"/>
      <c r="N44" s="6">
        <f t="shared" si="15"/>
        <v>-0.13604443710899436</v>
      </c>
      <c r="O44" s="11"/>
      <c r="P44" s="7">
        <v>2542.64</v>
      </c>
      <c r="Q44" s="2"/>
      <c r="R44" s="6">
        <f t="shared" si="16"/>
        <v>2.8427956712548256E-3</v>
      </c>
      <c r="S44" s="2"/>
      <c r="T44" s="7">
        <v>3308.136</v>
      </c>
      <c r="U44" s="2"/>
      <c r="V44" s="6">
        <f t="shared" si="17"/>
        <v>3.5465416208358257E-3</v>
      </c>
      <c r="W44" s="2"/>
      <c r="X44" s="7">
        <f t="shared" si="18"/>
        <v>-765.49600000000009</v>
      </c>
      <c r="Y44" s="2"/>
      <c r="Z44" s="6">
        <f t="shared" si="19"/>
        <v>-0.23139798363791578</v>
      </c>
    </row>
    <row r="45" spans="1:26" s="24" customFormat="1" hidden="1" outlineLevel="2" x14ac:dyDescent="0.25">
      <c r="A45" s="29"/>
      <c r="B45" s="11" t="str">
        <f>CONCATENATE("          ", "6113", " - ", "GROUP INSURANCE")</f>
        <v xml:space="preserve">          6113 - GROUP INSURANCE</v>
      </c>
      <c r="C45" s="11"/>
      <c r="D45" s="7">
        <v>4844.88</v>
      </c>
      <c r="E45" s="2"/>
      <c r="F45" s="6">
        <f t="shared" si="12"/>
        <v>1.5735324570786875E-2</v>
      </c>
      <c r="G45" s="2"/>
      <c r="H45" s="7">
        <v>7772.9230769230799</v>
      </c>
      <c r="I45" s="2"/>
      <c r="J45" s="6">
        <f t="shared" si="13"/>
        <v>3.1544673823802119E-2</v>
      </c>
      <c r="K45" s="2"/>
      <c r="L45" s="7">
        <f t="shared" si="14"/>
        <v>-2928.0430769230798</v>
      </c>
      <c r="M45" s="2"/>
      <c r="N45" s="6">
        <f t="shared" si="15"/>
        <v>-0.37669780698282029</v>
      </c>
      <c r="O45" s="11"/>
      <c r="P45" s="7">
        <v>14467.14</v>
      </c>
      <c r="Q45" s="2"/>
      <c r="R45" s="6">
        <f t="shared" si="16"/>
        <v>1.6174968917124541E-2</v>
      </c>
      <c r="S45" s="2"/>
      <c r="T45" s="7">
        <v>23928</v>
      </c>
      <c r="U45" s="2"/>
      <c r="V45" s="6">
        <f t="shared" si="17"/>
        <v>2.5652406038735906E-2</v>
      </c>
      <c r="W45" s="2"/>
      <c r="X45" s="7">
        <f t="shared" si="18"/>
        <v>-9460.86</v>
      </c>
      <c r="Y45" s="2"/>
      <c r="Z45" s="6">
        <f t="shared" si="19"/>
        <v>-0.39538866599799399</v>
      </c>
    </row>
    <row r="46" spans="1:26" s="24" customFormat="1" hidden="1" outlineLevel="2" x14ac:dyDescent="0.25">
      <c r="A46" s="29"/>
      <c r="B46" s="11" t="str">
        <f>CONCATENATE("          ", "6114", " - ", "STATE UNEMPLOYMENT INSURANCE")</f>
        <v xml:space="preserve">          6114 - STATE UNEMPLOYMENT INSURANCE</v>
      </c>
      <c r="C46" s="11"/>
      <c r="D46" s="7">
        <v>154.49</v>
      </c>
      <c r="E46" s="2"/>
      <c r="F46" s="6">
        <f t="shared" si="12"/>
        <v>5.0175655391689056E-4</v>
      </c>
      <c r="G46" s="2"/>
      <c r="H46" s="7">
        <v>137.023384615385</v>
      </c>
      <c r="I46" s="2"/>
      <c r="J46" s="6">
        <f t="shared" si="13"/>
        <v>5.560788304670468E-4</v>
      </c>
      <c r="K46" s="2"/>
      <c r="L46" s="7">
        <f t="shared" si="14"/>
        <v>17.466615384615011</v>
      </c>
      <c r="M46" s="2"/>
      <c r="N46" s="6">
        <f t="shared" si="15"/>
        <v>0.12747178471501469</v>
      </c>
      <c r="O46" s="11"/>
      <c r="P46" s="7">
        <v>446.67</v>
      </c>
      <c r="Q46" s="2"/>
      <c r="R46" s="6">
        <f t="shared" si="16"/>
        <v>4.9939886986730055E-4</v>
      </c>
      <c r="S46" s="2"/>
      <c r="T46" s="7">
        <v>445.32600000000002</v>
      </c>
      <c r="U46" s="2"/>
      <c r="V46" s="6">
        <f t="shared" si="17"/>
        <v>4.7741906434328426E-4</v>
      </c>
      <c r="W46" s="2"/>
      <c r="X46" s="7">
        <f t="shared" si="18"/>
        <v>1.3439999999999941</v>
      </c>
      <c r="Y46" s="2"/>
      <c r="Z46" s="6">
        <f t="shared" si="19"/>
        <v>3.0180137696878108E-3</v>
      </c>
    </row>
    <row r="47" spans="1:26" s="24" customFormat="1" hidden="1" outlineLevel="2" x14ac:dyDescent="0.25">
      <c r="A47" s="29"/>
      <c r="B47" s="11" t="str">
        <f>CONCATENATE("          ", "6115", " - ", "P.E.R.S.")</f>
        <v xml:space="preserve">          6115 - P.E.R.S.</v>
      </c>
      <c r="C47" s="11"/>
      <c r="D47" s="7">
        <v>1579.48</v>
      </c>
      <c r="E47" s="2"/>
      <c r="F47" s="6">
        <f t="shared" si="12"/>
        <v>5.1298753432626716E-3</v>
      </c>
      <c r="G47" s="2"/>
      <c r="H47" s="7">
        <v>1413.3438461538501</v>
      </c>
      <c r="I47" s="2"/>
      <c r="J47" s="6">
        <f t="shared" si="13"/>
        <v>5.7357406199174147E-3</v>
      </c>
      <c r="K47" s="2"/>
      <c r="L47" s="7">
        <f t="shared" si="14"/>
        <v>166.13615384614991</v>
      </c>
      <c r="M47" s="2"/>
      <c r="N47" s="6">
        <f t="shared" si="15"/>
        <v>0.11754829109579969</v>
      </c>
      <c r="O47" s="11"/>
      <c r="P47" s="7">
        <v>4738.4399999999996</v>
      </c>
      <c r="Q47" s="2"/>
      <c r="R47" s="6">
        <f t="shared" si="16"/>
        <v>5.2978072871113155E-3</v>
      </c>
      <c r="S47" s="2"/>
      <c r="T47" s="7">
        <v>4593.3675000000003</v>
      </c>
      <c r="U47" s="2"/>
      <c r="V47" s="6">
        <f t="shared" si="17"/>
        <v>4.9243951937116871E-3</v>
      </c>
      <c r="W47" s="2"/>
      <c r="X47" s="7">
        <f t="shared" si="18"/>
        <v>145.07249999999931</v>
      </c>
      <c r="Y47" s="2"/>
      <c r="Z47" s="6">
        <f t="shared" si="19"/>
        <v>3.1583037934587055E-2</v>
      </c>
    </row>
    <row r="48" spans="1:26" s="24" customFormat="1" hidden="1" outlineLevel="2" x14ac:dyDescent="0.25">
      <c r="A48" s="29"/>
      <c r="B48" s="11" t="str">
        <f>CONCATENATE("          ", "6116", " - ", "EDUCATIONAL BENEFITS")</f>
        <v xml:space="preserve">          6116 - EDUCATIONAL BENEFITS</v>
      </c>
      <c r="C48" s="11"/>
      <c r="D48" s="7"/>
      <c r="E48" s="2"/>
      <c r="F48" s="6">
        <f t="shared" si="12"/>
        <v>0</v>
      </c>
      <c r="G48" s="2"/>
      <c r="H48" s="7">
        <v>0</v>
      </c>
      <c r="I48" s="2"/>
      <c r="J48" s="6">
        <f t="shared" si="13"/>
        <v>0</v>
      </c>
      <c r="K48" s="2"/>
      <c r="L48" s="7">
        <f t="shared" si="14"/>
        <v>0</v>
      </c>
      <c r="M48" s="2"/>
      <c r="N48" s="6">
        <f t="shared" si="15"/>
        <v>0</v>
      </c>
      <c r="O48" s="11"/>
      <c r="P48" s="7"/>
      <c r="Q48" s="2"/>
      <c r="R48" s="6">
        <f t="shared" si="16"/>
        <v>0</v>
      </c>
      <c r="S48" s="2"/>
      <c r="T48" s="7">
        <v>0</v>
      </c>
      <c r="U48" s="2"/>
      <c r="V48" s="6">
        <f t="shared" si="17"/>
        <v>0</v>
      </c>
      <c r="W48" s="2"/>
      <c r="X48" s="7">
        <f t="shared" si="18"/>
        <v>0</v>
      </c>
      <c r="Y48" s="2"/>
      <c r="Z48" s="6">
        <f t="shared" si="19"/>
        <v>0</v>
      </c>
    </row>
    <row r="49" spans="1:26" s="24" customFormat="1" hidden="1" outlineLevel="2" x14ac:dyDescent="0.25">
      <c r="A49" s="29"/>
      <c r="B49" s="11" t="str">
        <f>CONCATENATE("          ", "6118", " - ", "VACATION")</f>
        <v xml:space="preserve">          6118 - VACATION</v>
      </c>
      <c r="C49" s="11"/>
      <c r="D49" s="7">
        <v>1685.29</v>
      </c>
      <c r="E49" s="2"/>
      <c r="F49" s="6">
        <f t="shared" si="12"/>
        <v>5.4735277542274346E-3</v>
      </c>
      <c r="G49" s="2"/>
      <c r="H49" s="7">
        <v>1233.7115384615399</v>
      </c>
      <c r="I49" s="2"/>
      <c r="J49" s="6">
        <f t="shared" si="13"/>
        <v>5.0067429830832353E-3</v>
      </c>
      <c r="K49" s="2"/>
      <c r="L49" s="7">
        <f t="shared" si="14"/>
        <v>451.57846153846003</v>
      </c>
      <c r="M49" s="2"/>
      <c r="N49" s="6">
        <f t="shared" si="15"/>
        <v>0.36603245366545434</v>
      </c>
      <c r="O49" s="11"/>
      <c r="P49" s="7">
        <v>5003.41</v>
      </c>
      <c r="Q49" s="2"/>
      <c r="R49" s="6">
        <f t="shared" si="16"/>
        <v>5.5940566849861199E-3</v>
      </c>
      <c r="S49" s="2"/>
      <c r="T49" s="7">
        <v>4009.5625</v>
      </c>
      <c r="U49" s="2"/>
      <c r="V49" s="6">
        <f t="shared" si="17"/>
        <v>4.2985174393049578E-3</v>
      </c>
      <c r="W49" s="2"/>
      <c r="X49" s="7">
        <f t="shared" si="18"/>
        <v>993.84749999999985</v>
      </c>
      <c r="Y49" s="2"/>
      <c r="Z49" s="6">
        <f t="shared" si="19"/>
        <v>0.24786931242498397</v>
      </c>
    </row>
    <row r="50" spans="1:26" s="24" customFormat="1" hidden="1" outlineLevel="2" x14ac:dyDescent="0.25">
      <c r="A50" s="29"/>
      <c r="B50" s="11" t="str">
        <f>CONCATENATE("          ", "6119", " - ", "SICK LEAVE")</f>
        <v xml:space="preserve">          6119 - SICK LEAVE</v>
      </c>
      <c r="C50" s="11"/>
      <c r="D50" s="7">
        <v>1120.42</v>
      </c>
      <c r="E50" s="2"/>
      <c r="F50" s="6">
        <f t="shared" si="12"/>
        <v>3.6389285917506793E-3</v>
      </c>
      <c r="G50" s="2"/>
      <c r="H50" s="7">
        <v>2666.0015384615399</v>
      </c>
      <c r="I50" s="2"/>
      <c r="J50" s="6">
        <f t="shared" si="13"/>
        <v>1.0819372340658008E-2</v>
      </c>
      <c r="K50" s="2"/>
      <c r="L50" s="7">
        <f t="shared" si="14"/>
        <v>-1545.5815384615398</v>
      </c>
      <c r="M50" s="2"/>
      <c r="N50" s="6">
        <f t="shared" si="15"/>
        <v>-0.57973767687825228</v>
      </c>
      <c r="O50" s="11"/>
      <c r="P50" s="7">
        <v>3361.26</v>
      </c>
      <c r="Q50" s="2"/>
      <c r="R50" s="6">
        <f t="shared" si="16"/>
        <v>3.7580528025839273E-3</v>
      </c>
      <c r="S50" s="2"/>
      <c r="T50" s="7">
        <v>8664.5049999999992</v>
      </c>
      <c r="U50" s="2"/>
      <c r="V50" s="6">
        <f t="shared" si="17"/>
        <v>9.2889251247349307E-3</v>
      </c>
      <c r="W50" s="2"/>
      <c r="X50" s="7">
        <f t="shared" si="18"/>
        <v>-5303.244999999999</v>
      </c>
      <c r="Y50" s="2"/>
      <c r="Z50" s="6">
        <f t="shared" si="19"/>
        <v>-0.61206554788761725</v>
      </c>
    </row>
    <row r="51" spans="1:26" s="24" customFormat="1" hidden="1" outlineLevel="2" x14ac:dyDescent="0.25">
      <c r="A51" s="29"/>
      <c r="B51" s="11" t="str">
        <f>CONCATENATE("          ", "6156", " - ", "EMPLOYEE MEALS")</f>
        <v xml:space="preserve">          6156 - EMPLOYEE MEALS</v>
      </c>
      <c r="C51" s="11"/>
      <c r="D51" s="7">
        <v>793.87</v>
      </c>
      <c r="E51" s="2"/>
      <c r="F51" s="6">
        <f t="shared" si="12"/>
        <v>2.5783511907437493E-3</v>
      </c>
      <c r="G51" s="2"/>
      <c r="H51" s="7">
        <v>875</v>
      </c>
      <c r="I51" s="2"/>
      <c r="J51" s="6">
        <f t="shared" si="13"/>
        <v>3.5509922486912059E-3</v>
      </c>
      <c r="K51" s="2"/>
      <c r="L51" s="7">
        <f t="shared" si="14"/>
        <v>-81.13</v>
      </c>
      <c r="M51" s="2"/>
      <c r="N51" s="6">
        <f t="shared" si="15"/>
        <v>-9.2719999999999997E-2</v>
      </c>
      <c r="O51" s="11"/>
      <c r="P51" s="7">
        <v>1870.78</v>
      </c>
      <c r="Q51" s="2"/>
      <c r="R51" s="6">
        <f t="shared" si="16"/>
        <v>2.0916233858784975E-3</v>
      </c>
      <c r="S51" s="2"/>
      <c r="T51" s="7">
        <v>2625</v>
      </c>
      <c r="U51" s="2"/>
      <c r="V51" s="6">
        <f t="shared" si="17"/>
        <v>2.814174433788104E-3</v>
      </c>
      <c r="W51" s="2"/>
      <c r="X51" s="7">
        <f t="shared" si="18"/>
        <v>-754.22</v>
      </c>
      <c r="Y51" s="2"/>
      <c r="Z51" s="6">
        <f t="shared" si="19"/>
        <v>-0.28732190476190478</v>
      </c>
    </row>
    <row r="52" spans="1:26" s="28" customFormat="1" outlineLevel="1" collapsed="1" x14ac:dyDescent="0.25">
      <c r="A52" s="27"/>
      <c r="B52" s="14" t="str">
        <f>CONCATENATE("     ","*Payroll                                          ")</f>
        <v xml:space="preserve">     *Payroll                                          </v>
      </c>
      <c r="C52" s="14"/>
      <c r="D52" s="1">
        <f>SUM(OSRRefD22_1x_0)</f>
        <v>59644.810000000005</v>
      </c>
      <c r="E52" s="1"/>
      <c r="F52" s="5">
        <f t="shared" ref="F52:F62" si="20">IF(D$12=0,0,D52/D$12)</f>
        <v>0.19371593193493231</v>
      </c>
      <c r="G52" s="1"/>
      <c r="H52" s="1">
        <f>SUM(OSRRefH22_1x_0)</f>
        <v>62244.207692307704</v>
      </c>
      <c r="I52" s="1"/>
      <c r="J52" s="5">
        <f t="shared" ref="J52:J62" si="21">IF(H$12=0,0,H52/H$12)</f>
        <v>0.25260422747578304</v>
      </c>
      <c r="K52" s="1"/>
      <c r="L52" s="1">
        <f t="shared" ref="L52:L62" si="22">+D52-H52</f>
        <v>-2599.3976923076989</v>
      </c>
      <c r="M52" s="1"/>
      <c r="N52" s="5">
        <f t="shared" ref="N52:N62" si="23">IF(H52=0,0,L52/H52)</f>
        <v>-4.1761278497708935E-2</v>
      </c>
      <c r="O52" s="14"/>
      <c r="P52" s="1">
        <f>SUM(OSRRefP22_1x_0)</f>
        <v>185468.77</v>
      </c>
      <c r="Q52" s="1"/>
      <c r="R52" s="5">
        <f t="shared" ref="R52:R62" si="24">IF(P$12=0,0,P52/P$12)</f>
        <v>0.20736314087285532</v>
      </c>
      <c r="S52" s="1"/>
      <c r="T52" s="1">
        <f>SUM(OSRRefT22_1x_0)</f>
        <v>202293.67499999999</v>
      </c>
      <c r="U52" s="1"/>
      <c r="V52" s="5">
        <f t="shared" ref="V52:V62" si="25">IF(T$12=0,0,T52/T$12)</f>
        <v>0.21687226221030084</v>
      </c>
      <c r="W52" s="1"/>
      <c r="X52" s="1">
        <f t="shared" ref="X52:X62" si="26">+P52-T52</f>
        <v>-16824.904999999999</v>
      </c>
      <c r="Y52" s="1"/>
      <c r="Z52" s="5">
        <f t="shared" ref="Z52:Z62" si="27">IF(T52=0,0,X52/T52)</f>
        <v>-8.3170692311561392E-2</v>
      </c>
    </row>
    <row r="53" spans="1:26" s="24" customFormat="1" hidden="1" outlineLevel="2" x14ac:dyDescent="0.25">
      <c r="A53" s="29"/>
      <c r="B53" s="11" t="str">
        <f>CONCATENATE("          ", "6001", " - ", "ADMINISTRATIVE SALARIES")</f>
        <v xml:space="preserve">          6001 - ADMINISTRATIVE SALARIES</v>
      </c>
      <c r="C53" s="11"/>
      <c r="D53" s="7"/>
      <c r="E53" s="2"/>
      <c r="F53" s="6">
        <f t="shared" si="20"/>
        <v>0</v>
      </c>
      <c r="G53" s="2"/>
      <c r="H53" s="7">
        <v>0</v>
      </c>
      <c r="I53" s="2"/>
      <c r="J53" s="6">
        <f t="shared" si="21"/>
        <v>0</v>
      </c>
      <c r="K53" s="2"/>
      <c r="L53" s="7">
        <f t="shared" si="22"/>
        <v>0</v>
      </c>
      <c r="M53" s="2"/>
      <c r="N53" s="6">
        <f t="shared" si="23"/>
        <v>0</v>
      </c>
      <c r="O53" s="11"/>
      <c r="P53" s="7"/>
      <c r="Q53" s="2"/>
      <c r="R53" s="6">
        <f t="shared" si="24"/>
        <v>0</v>
      </c>
      <c r="S53" s="2"/>
      <c r="T53" s="7">
        <v>0</v>
      </c>
      <c r="U53" s="2"/>
      <c r="V53" s="6">
        <f t="shared" si="25"/>
        <v>0</v>
      </c>
      <c r="W53" s="2"/>
      <c r="X53" s="7">
        <f t="shared" si="26"/>
        <v>0</v>
      </c>
      <c r="Y53" s="2"/>
      <c r="Z53" s="6">
        <f t="shared" si="27"/>
        <v>0</v>
      </c>
    </row>
    <row r="54" spans="1:26" s="24" customFormat="1" hidden="1" outlineLevel="2" x14ac:dyDescent="0.25">
      <c r="A54" s="29"/>
      <c r="B54" s="11" t="str">
        <f>CONCATENATE("          ", "6002", " - ", "STAFF SALARIES")</f>
        <v xml:space="preserve">          6002 - STAFF SALARIES</v>
      </c>
      <c r="C54" s="11"/>
      <c r="D54" s="7">
        <v>17490.93</v>
      </c>
      <c r="E54" s="2"/>
      <c r="F54" s="6">
        <f t="shared" si="20"/>
        <v>5.6807487614742427E-2</v>
      </c>
      <c r="G54" s="2"/>
      <c r="H54" s="7">
        <v>14790.807692307701</v>
      </c>
      <c r="I54" s="2"/>
      <c r="J54" s="6">
        <f t="shared" si="21"/>
        <v>6.002519253401932E-2</v>
      </c>
      <c r="K54" s="2"/>
      <c r="L54" s="7">
        <f t="shared" si="22"/>
        <v>2700.1223076922997</v>
      </c>
      <c r="M54" s="2"/>
      <c r="N54" s="6">
        <f t="shared" si="23"/>
        <v>0.18255408114707355</v>
      </c>
      <c r="O54" s="11"/>
      <c r="P54" s="7">
        <v>51744.39</v>
      </c>
      <c r="Q54" s="2"/>
      <c r="R54" s="6">
        <f t="shared" si="24"/>
        <v>5.7852754579382645E-2</v>
      </c>
      <c r="S54" s="2"/>
      <c r="T54" s="7">
        <v>48070.125</v>
      </c>
      <c r="U54" s="2"/>
      <c r="V54" s="6">
        <f t="shared" si="25"/>
        <v>5.1534368306285099E-2</v>
      </c>
      <c r="W54" s="2"/>
      <c r="X54" s="7">
        <f t="shared" si="26"/>
        <v>3674.2649999999994</v>
      </c>
      <c r="Y54" s="2"/>
      <c r="Z54" s="6">
        <f t="shared" si="27"/>
        <v>7.6435519982525513E-2</v>
      </c>
    </row>
    <row r="55" spans="1:26" s="24" customFormat="1" hidden="1" outlineLevel="2" x14ac:dyDescent="0.25">
      <c r="A55" s="29"/>
      <c r="B55" s="11" t="str">
        <f>CONCATENATE("          ", "6003", " - ", "STAFF HOURLY-9 MONTH")</f>
        <v xml:space="preserve">          6003 - STAFF HOURLY-9 MONTH</v>
      </c>
      <c r="C55" s="11"/>
      <c r="D55" s="7"/>
      <c r="E55" s="2"/>
      <c r="F55" s="6">
        <f t="shared" si="20"/>
        <v>0</v>
      </c>
      <c r="G55" s="2"/>
      <c r="H55" s="7">
        <v>0</v>
      </c>
      <c r="I55" s="2"/>
      <c r="J55" s="6">
        <f t="shared" si="21"/>
        <v>0</v>
      </c>
      <c r="K55" s="2"/>
      <c r="L55" s="7">
        <f t="shared" si="22"/>
        <v>0</v>
      </c>
      <c r="M55" s="2"/>
      <c r="N55" s="6">
        <f t="shared" si="23"/>
        <v>0</v>
      </c>
      <c r="O55" s="11"/>
      <c r="P55" s="7"/>
      <c r="Q55" s="2"/>
      <c r="R55" s="6">
        <f t="shared" si="24"/>
        <v>0</v>
      </c>
      <c r="S55" s="2"/>
      <c r="T55" s="7">
        <v>0</v>
      </c>
      <c r="U55" s="2"/>
      <c r="V55" s="6">
        <f t="shared" si="25"/>
        <v>0</v>
      </c>
      <c r="W55" s="2"/>
      <c r="X55" s="7">
        <f t="shared" si="26"/>
        <v>0</v>
      </c>
      <c r="Y55" s="2"/>
      <c r="Z55" s="6">
        <f t="shared" si="27"/>
        <v>0</v>
      </c>
    </row>
    <row r="56" spans="1:26" s="24" customFormat="1" hidden="1" outlineLevel="2" x14ac:dyDescent="0.25">
      <c r="A56" s="29"/>
      <c r="B56" s="11" t="str">
        <f>CONCATENATE("          ", "6004", " - ", "STAFF HOURLY")</f>
        <v xml:space="preserve">          6004 - STAFF HOURLY</v>
      </c>
      <c r="C56" s="11"/>
      <c r="D56" s="7">
        <v>8783.39</v>
      </c>
      <c r="E56" s="2"/>
      <c r="F56" s="6">
        <f t="shared" si="20"/>
        <v>2.8526917587598396E-2</v>
      </c>
      <c r="G56" s="2"/>
      <c r="H56" s="7">
        <v>17630.400000000001</v>
      </c>
      <c r="I56" s="2"/>
      <c r="J56" s="6">
        <f t="shared" si="21"/>
        <v>7.15490442758005E-2</v>
      </c>
      <c r="K56" s="2"/>
      <c r="L56" s="7">
        <f t="shared" si="22"/>
        <v>-8847.010000000002</v>
      </c>
      <c r="M56" s="2"/>
      <c r="N56" s="6">
        <f t="shared" si="23"/>
        <v>-0.50180426989744997</v>
      </c>
      <c r="O56" s="11"/>
      <c r="P56" s="7">
        <v>25228.47</v>
      </c>
      <c r="Q56" s="2"/>
      <c r="R56" s="6">
        <f t="shared" si="24"/>
        <v>2.8206661308082245E-2</v>
      </c>
      <c r="S56" s="2"/>
      <c r="T56" s="7">
        <v>57298.8</v>
      </c>
      <c r="U56" s="2"/>
      <c r="V56" s="6">
        <f t="shared" si="25"/>
        <v>6.1428121160662028E-2</v>
      </c>
      <c r="W56" s="2"/>
      <c r="X56" s="7">
        <f t="shared" si="26"/>
        <v>-32070.33</v>
      </c>
      <c r="Y56" s="2"/>
      <c r="Z56" s="6">
        <f t="shared" si="27"/>
        <v>-0.55970334457266124</v>
      </c>
    </row>
    <row r="57" spans="1:26" s="24" customFormat="1" hidden="1" outlineLevel="2" x14ac:dyDescent="0.25">
      <c r="A57" s="29"/>
      <c r="B57" s="11" t="str">
        <f>CONCATENATE("          ", "6005", " - ", "TEMPORARY WAGES-HOURLY")</f>
        <v xml:space="preserve">          6005 - TEMPORARY WAGES-HOURLY</v>
      </c>
      <c r="C57" s="11"/>
      <c r="D57" s="7">
        <v>3686.9</v>
      </c>
      <c r="E57" s="2"/>
      <c r="F57" s="6">
        <f t="shared" si="20"/>
        <v>1.1974407655098605E-2</v>
      </c>
      <c r="G57" s="2"/>
      <c r="H57" s="7">
        <v>0</v>
      </c>
      <c r="I57" s="2"/>
      <c r="J57" s="6">
        <f t="shared" si="21"/>
        <v>0</v>
      </c>
      <c r="K57" s="2"/>
      <c r="L57" s="7">
        <f t="shared" si="22"/>
        <v>3686.9</v>
      </c>
      <c r="M57" s="2"/>
      <c r="N57" s="6">
        <f t="shared" si="23"/>
        <v>0</v>
      </c>
      <c r="O57" s="11"/>
      <c r="P57" s="7">
        <v>10296.93</v>
      </c>
      <c r="Q57" s="2"/>
      <c r="R57" s="6">
        <f t="shared" si="24"/>
        <v>1.151247051537534E-2</v>
      </c>
      <c r="S57" s="2"/>
      <c r="T57" s="7">
        <v>0</v>
      </c>
      <c r="U57" s="2"/>
      <c r="V57" s="6">
        <f t="shared" si="25"/>
        <v>0</v>
      </c>
      <c r="W57" s="2"/>
      <c r="X57" s="7">
        <f t="shared" si="26"/>
        <v>10296.93</v>
      </c>
      <c r="Y57" s="2"/>
      <c r="Z57" s="6">
        <f t="shared" si="27"/>
        <v>0</v>
      </c>
    </row>
    <row r="58" spans="1:26" s="24" customFormat="1" hidden="1" outlineLevel="2" x14ac:dyDescent="0.25">
      <c r="A58" s="29"/>
      <c r="B58" s="11" t="str">
        <f>CONCATENATE("          ", "6006", " - ", "TEMPORARY PART TIME")</f>
        <v xml:space="preserve">          6006 - TEMPORARY PART TIME</v>
      </c>
      <c r="C58" s="11"/>
      <c r="D58" s="7"/>
      <c r="E58" s="2"/>
      <c r="F58" s="6">
        <f t="shared" si="20"/>
        <v>0</v>
      </c>
      <c r="G58" s="2"/>
      <c r="H58" s="7">
        <v>0</v>
      </c>
      <c r="I58" s="2"/>
      <c r="J58" s="6">
        <f t="shared" si="21"/>
        <v>0</v>
      </c>
      <c r="K58" s="2"/>
      <c r="L58" s="7">
        <f t="shared" si="22"/>
        <v>0</v>
      </c>
      <c r="M58" s="2"/>
      <c r="N58" s="6">
        <f t="shared" si="23"/>
        <v>0</v>
      </c>
      <c r="O58" s="11"/>
      <c r="P58" s="7"/>
      <c r="Q58" s="2"/>
      <c r="R58" s="6">
        <f t="shared" si="24"/>
        <v>0</v>
      </c>
      <c r="S58" s="2"/>
      <c r="T58" s="7">
        <v>0</v>
      </c>
      <c r="U58" s="2"/>
      <c r="V58" s="6">
        <f t="shared" si="25"/>
        <v>0</v>
      </c>
      <c r="W58" s="2"/>
      <c r="X58" s="7">
        <f t="shared" si="26"/>
        <v>0</v>
      </c>
      <c r="Y58" s="2"/>
      <c r="Z58" s="6">
        <f t="shared" si="27"/>
        <v>0</v>
      </c>
    </row>
    <row r="59" spans="1:26" s="24" customFormat="1" hidden="1" outlineLevel="2" x14ac:dyDescent="0.25">
      <c r="A59" s="29"/>
      <c r="B59" s="11" t="str">
        <f>CONCATENATE("          ", "6007", " - ", "STUDENT HOURLY")</f>
        <v xml:space="preserve">          6007 - STUDENT HOURLY</v>
      </c>
      <c r="C59" s="11"/>
      <c r="D59" s="7">
        <v>24317.52</v>
      </c>
      <c r="E59" s="2"/>
      <c r="F59" s="6">
        <f t="shared" si="20"/>
        <v>7.897906035992662E-2</v>
      </c>
      <c r="G59" s="2"/>
      <c r="H59" s="7">
        <v>27600</v>
      </c>
      <c r="I59" s="2"/>
      <c r="J59" s="6">
        <f t="shared" si="21"/>
        <v>0.11200844121585975</v>
      </c>
      <c r="K59" s="2"/>
      <c r="L59" s="7">
        <f t="shared" si="22"/>
        <v>-3282.4799999999996</v>
      </c>
      <c r="M59" s="2"/>
      <c r="N59" s="6">
        <f t="shared" si="23"/>
        <v>-0.11893043478260867</v>
      </c>
      <c r="O59" s="11"/>
      <c r="P59" s="7">
        <v>75696.179999999993</v>
      </c>
      <c r="Q59" s="2"/>
      <c r="R59" s="6">
        <f t="shared" si="24"/>
        <v>8.4632025310121012E-2</v>
      </c>
      <c r="S59" s="2"/>
      <c r="T59" s="7">
        <v>32601.75</v>
      </c>
      <c r="U59" s="2"/>
      <c r="V59" s="6">
        <f t="shared" si="25"/>
        <v>3.4951242417810023E-2</v>
      </c>
      <c r="W59" s="2"/>
      <c r="X59" s="7">
        <f t="shared" si="26"/>
        <v>43094.429999999993</v>
      </c>
      <c r="Y59" s="2"/>
      <c r="Z59" s="6">
        <f t="shared" si="27"/>
        <v>1.3218440727875036</v>
      </c>
    </row>
    <row r="60" spans="1:26" s="24" customFormat="1" hidden="1" outlineLevel="2" x14ac:dyDescent="0.25">
      <c r="A60" s="29"/>
      <c r="B60" s="11" t="str">
        <f>CONCATENATE("          ", "6008", " - ", "STUDENT HOURLY-FICA EXEMPT")</f>
        <v xml:space="preserve">          6008 - STUDENT HOURLY-FICA EXEMPT</v>
      </c>
      <c r="C60" s="11"/>
      <c r="D60" s="7">
        <v>5366.07</v>
      </c>
      <c r="E60" s="2"/>
      <c r="F60" s="6">
        <f t="shared" si="20"/>
        <v>1.7428058717566239E-2</v>
      </c>
      <c r="G60" s="2"/>
      <c r="H60" s="7">
        <v>2223</v>
      </c>
      <c r="I60" s="2"/>
      <c r="J60" s="6">
        <f t="shared" si="21"/>
        <v>9.021549450103486E-3</v>
      </c>
      <c r="K60" s="2"/>
      <c r="L60" s="7">
        <f t="shared" si="22"/>
        <v>3143.0699999999997</v>
      </c>
      <c r="M60" s="2"/>
      <c r="N60" s="6">
        <f t="shared" si="23"/>
        <v>1.4138866396761132</v>
      </c>
      <c r="O60" s="11"/>
      <c r="P60" s="7">
        <v>22502.799999999999</v>
      </c>
      <c r="Q60" s="2"/>
      <c r="R60" s="6">
        <f t="shared" si="24"/>
        <v>2.5159229159894082E-2</v>
      </c>
      <c r="S60" s="2"/>
      <c r="T60" s="7">
        <v>64323</v>
      </c>
      <c r="U60" s="2"/>
      <c r="V60" s="6">
        <f t="shared" si="25"/>
        <v>6.8958530325543693E-2</v>
      </c>
      <c r="W60" s="2"/>
      <c r="X60" s="7">
        <f t="shared" si="26"/>
        <v>-41820.199999999997</v>
      </c>
      <c r="Y60" s="2"/>
      <c r="Z60" s="6">
        <f t="shared" si="27"/>
        <v>-0.65015935202027264</v>
      </c>
    </row>
    <row r="61" spans="1:26" s="24" customFormat="1" hidden="1" outlineLevel="2" x14ac:dyDescent="0.25">
      <c r="A61" s="29"/>
      <c r="B61" s="11" t="str">
        <f>CONCATENATE("          ", "6009", " - ", "TEMPORARY-SEASONAL")</f>
        <v xml:space="preserve">          6009 - TEMPORARY-SEASONAL</v>
      </c>
      <c r="C61" s="11"/>
      <c r="D61" s="7"/>
      <c r="E61" s="2"/>
      <c r="F61" s="6">
        <f t="shared" si="20"/>
        <v>0</v>
      </c>
      <c r="G61" s="2"/>
      <c r="H61" s="7">
        <v>0</v>
      </c>
      <c r="I61" s="2"/>
      <c r="J61" s="6">
        <f t="shared" si="21"/>
        <v>0</v>
      </c>
      <c r="K61" s="2"/>
      <c r="L61" s="7">
        <f t="shared" si="22"/>
        <v>0</v>
      </c>
      <c r="M61" s="2"/>
      <c r="N61" s="6">
        <f t="shared" si="23"/>
        <v>0</v>
      </c>
      <c r="O61" s="11"/>
      <c r="P61" s="7"/>
      <c r="Q61" s="2"/>
      <c r="R61" s="6">
        <f t="shared" si="24"/>
        <v>0</v>
      </c>
      <c r="S61" s="2"/>
      <c r="T61" s="7">
        <v>0</v>
      </c>
      <c r="U61" s="2"/>
      <c r="V61" s="6">
        <f t="shared" si="25"/>
        <v>0</v>
      </c>
      <c r="W61" s="2"/>
      <c r="X61" s="7">
        <f t="shared" si="26"/>
        <v>0</v>
      </c>
      <c r="Y61" s="2"/>
      <c r="Z61" s="6">
        <f t="shared" si="27"/>
        <v>0</v>
      </c>
    </row>
    <row r="62" spans="1:26" s="24" customFormat="1" hidden="1" outlineLevel="2" x14ac:dyDescent="0.25">
      <c r="A62" s="29"/>
      <c r="B62" s="11" t="str">
        <f>CONCATENATE("          ", "6010", " - ", "GRATUITY")</f>
        <v xml:space="preserve">          6010 - GRATUITY</v>
      </c>
      <c r="C62" s="11"/>
      <c r="D62" s="7"/>
      <c r="E62" s="2"/>
      <c r="F62" s="6">
        <f t="shared" si="20"/>
        <v>0</v>
      </c>
      <c r="G62" s="2"/>
      <c r="H62" s="7">
        <v>0</v>
      </c>
      <c r="I62" s="2"/>
      <c r="J62" s="6">
        <f t="shared" si="21"/>
        <v>0</v>
      </c>
      <c r="K62" s="2"/>
      <c r="L62" s="7">
        <f t="shared" si="22"/>
        <v>0</v>
      </c>
      <c r="M62" s="2"/>
      <c r="N62" s="6">
        <f t="shared" si="23"/>
        <v>0</v>
      </c>
      <c r="O62" s="11"/>
      <c r="P62" s="7"/>
      <c r="Q62" s="2"/>
      <c r="R62" s="6">
        <f t="shared" si="24"/>
        <v>0</v>
      </c>
      <c r="S62" s="2"/>
      <c r="T62" s="7">
        <v>0</v>
      </c>
      <c r="U62" s="2"/>
      <c r="V62" s="6">
        <f t="shared" si="25"/>
        <v>0</v>
      </c>
      <c r="W62" s="2"/>
      <c r="X62" s="7">
        <f t="shared" si="26"/>
        <v>0</v>
      </c>
      <c r="Y62" s="2"/>
      <c r="Z62" s="6">
        <f t="shared" si="27"/>
        <v>0</v>
      </c>
    </row>
    <row r="63" spans="1:26" s="28" customFormat="1" outlineLevel="1" collapsed="1" x14ac:dyDescent="0.25">
      <c r="A63" s="27"/>
      <c r="B63" s="14" t="str">
        <f>CONCATENATE("     ","Advertising/Promo                                 ")</f>
        <v xml:space="preserve">     Advertising/Promo                                 </v>
      </c>
      <c r="C63" s="14"/>
      <c r="D63" s="1">
        <f>SUM(OSRRefD22_2x_0)</f>
        <v>110.26</v>
      </c>
      <c r="E63" s="1"/>
      <c r="F63" s="5">
        <f t="shared" ref="F63:F75" si="28">IF(D$12=0,0,D63/D$12)</f>
        <v>3.5810523422147934E-4</v>
      </c>
      <c r="G63" s="1"/>
      <c r="H63" s="1">
        <f>SUM(OSRRefH22_2x_0)</f>
        <v>100</v>
      </c>
      <c r="I63" s="1"/>
      <c r="J63" s="5">
        <f t="shared" ref="J63:J75" si="29">IF(H$12=0,0,H63/H$12)</f>
        <v>4.0582768556470921E-4</v>
      </c>
      <c r="K63" s="1"/>
      <c r="L63" s="1">
        <f t="shared" ref="L63:L75" si="30">+D63-H63</f>
        <v>10.260000000000005</v>
      </c>
      <c r="M63" s="1"/>
      <c r="N63" s="5">
        <f t="shared" ref="N63:N75" si="31">IF(H63=0,0,L63/H63)</f>
        <v>0.10260000000000005</v>
      </c>
      <c r="O63" s="14"/>
      <c r="P63" s="1">
        <f>SUM(OSRRefP22_2x_0)</f>
        <v>1767.01</v>
      </c>
      <c r="Q63" s="1"/>
      <c r="R63" s="5">
        <f t="shared" ref="R63:R75" si="32">IF(P$12=0,0,P63/P$12)</f>
        <v>1.9756034590284076E-3</v>
      </c>
      <c r="S63" s="1"/>
      <c r="T63" s="1">
        <f>SUM(OSRRefT22_2x_0)</f>
        <v>1700</v>
      </c>
      <c r="U63" s="1"/>
      <c r="V63" s="5">
        <f t="shared" ref="V63:V75" si="33">IF(T$12=0,0,T63/T$12)</f>
        <v>1.8225129666437244E-3</v>
      </c>
      <c r="W63" s="1"/>
      <c r="X63" s="1">
        <f t="shared" ref="X63:X75" si="34">+P63-T63</f>
        <v>67.009999999999991</v>
      </c>
      <c r="Y63" s="1"/>
      <c r="Z63" s="5">
        <f t="shared" ref="Z63:Z75" si="35">IF(T63=0,0,X63/T63)</f>
        <v>3.9417647058823523E-2</v>
      </c>
    </row>
    <row r="64" spans="1:26" s="24" customFormat="1" hidden="1" outlineLevel="2" x14ac:dyDescent="0.25">
      <c r="A64" s="29"/>
      <c r="B64" s="11" t="str">
        <f>CONCATENATE("          ", "6362", " - ", "ADVERTISING EXPENSE")</f>
        <v xml:space="preserve">          6362 - ADVERTISING EXPENSE</v>
      </c>
      <c r="C64" s="11"/>
      <c r="D64" s="7">
        <v>110.26</v>
      </c>
      <c r="E64" s="2"/>
      <c r="F64" s="6">
        <f t="shared" si="28"/>
        <v>3.5810523422147934E-4</v>
      </c>
      <c r="G64" s="2"/>
      <c r="H64" s="7">
        <v>100</v>
      </c>
      <c r="I64" s="2"/>
      <c r="J64" s="6">
        <f t="shared" si="29"/>
        <v>4.0582768556470921E-4</v>
      </c>
      <c r="K64" s="2"/>
      <c r="L64" s="7">
        <f t="shared" si="30"/>
        <v>10.260000000000005</v>
      </c>
      <c r="M64" s="2"/>
      <c r="N64" s="6">
        <f t="shared" si="31"/>
        <v>0.10260000000000005</v>
      </c>
      <c r="O64" s="11"/>
      <c r="P64" s="7">
        <v>1767.01</v>
      </c>
      <c r="Q64" s="2"/>
      <c r="R64" s="6">
        <f t="shared" si="32"/>
        <v>1.9756034590284076E-3</v>
      </c>
      <c r="S64" s="2"/>
      <c r="T64" s="7">
        <v>1700</v>
      </c>
      <c r="U64" s="2"/>
      <c r="V64" s="6">
        <f t="shared" si="33"/>
        <v>1.8225129666437244E-3</v>
      </c>
      <c r="W64" s="2"/>
      <c r="X64" s="7">
        <f t="shared" si="34"/>
        <v>67.009999999999991</v>
      </c>
      <c r="Y64" s="2"/>
      <c r="Z64" s="6">
        <f t="shared" si="35"/>
        <v>3.9417647058823523E-2</v>
      </c>
    </row>
    <row r="65" spans="1:26" s="28" customFormat="1" outlineLevel="1" collapsed="1" x14ac:dyDescent="0.25">
      <c r="A65" s="27"/>
      <c r="B65" s="14" t="str">
        <f>CONCATENATE("     ","Bad Debts/Over/Short                              ")</f>
        <v xml:space="preserve">     Bad Debts/Over/Short                              </v>
      </c>
      <c r="C65" s="14"/>
      <c r="D65" s="1">
        <f>SUM(OSRRefD22_3x_0)</f>
        <v>1.03</v>
      </c>
      <c r="E65" s="1"/>
      <c r="F65" s="5">
        <f t="shared" si="28"/>
        <v>3.3452602144759998E-6</v>
      </c>
      <c r="G65" s="1"/>
      <c r="H65" s="1">
        <f>SUM(OSRRefH22_3x_0)</f>
        <v>10</v>
      </c>
      <c r="I65" s="1"/>
      <c r="J65" s="5">
        <f t="shared" si="29"/>
        <v>4.0582768556470925E-5</v>
      </c>
      <c r="K65" s="1"/>
      <c r="L65" s="1">
        <f t="shared" si="30"/>
        <v>-8.9700000000000006</v>
      </c>
      <c r="M65" s="1"/>
      <c r="N65" s="5">
        <f t="shared" si="31"/>
        <v>-0.89700000000000002</v>
      </c>
      <c r="O65" s="14"/>
      <c r="P65" s="1">
        <f>SUM(OSRRefP22_3x_0)</f>
        <v>1.7</v>
      </c>
      <c r="Q65" s="1"/>
      <c r="R65" s="5">
        <f t="shared" si="32"/>
        <v>1.9006830070844491E-6</v>
      </c>
      <c r="S65" s="1"/>
      <c r="T65" s="1">
        <f>SUM(OSRRefT22_3x_0)</f>
        <v>30</v>
      </c>
      <c r="U65" s="1"/>
      <c r="V65" s="5">
        <f t="shared" si="33"/>
        <v>3.2161993529006901E-5</v>
      </c>
      <c r="W65" s="1"/>
      <c r="X65" s="1">
        <f t="shared" si="34"/>
        <v>-28.3</v>
      </c>
      <c r="Y65" s="1"/>
      <c r="Z65" s="5">
        <f t="shared" si="35"/>
        <v>-0.94333333333333336</v>
      </c>
    </row>
    <row r="66" spans="1:26" s="24" customFormat="1" hidden="1" outlineLevel="2" x14ac:dyDescent="0.25">
      <c r="A66" s="29"/>
      <c r="B66" s="11" t="str">
        <f>CONCATENATE("          ", "6272", " - ", "CASH (OVER/SHORT)")</f>
        <v xml:space="preserve">          6272 - CASH (OVER/SHORT)</v>
      </c>
      <c r="C66" s="11"/>
      <c r="D66" s="7">
        <v>1.03</v>
      </c>
      <c r="E66" s="2"/>
      <c r="F66" s="6">
        <f t="shared" si="28"/>
        <v>3.3452602144759998E-6</v>
      </c>
      <c r="G66" s="2"/>
      <c r="H66" s="7">
        <v>10</v>
      </c>
      <c r="I66" s="2"/>
      <c r="J66" s="6">
        <f t="shared" si="29"/>
        <v>4.0582768556470925E-5</v>
      </c>
      <c r="K66" s="2"/>
      <c r="L66" s="7">
        <f t="shared" si="30"/>
        <v>-8.9700000000000006</v>
      </c>
      <c r="M66" s="2"/>
      <c r="N66" s="6">
        <f t="shared" si="31"/>
        <v>-0.89700000000000002</v>
      </c>
      <c r="O66" s="11"/>
      <c r="P66" s="7">
        <v>1.7</v>
      </c>
      <c r="Q66" s="2"/>
      <c r="R66" s="6">
        <f t="shared" si="32"/>
        <v>1.9006830070844491E-6</v>
      </c>
      <c r="S66" s="2"/>
      <c r="T66" s="7">
        <v>30</v>
      </c>
      <c r="U66" s="2"/>
      <c r="V66" s="6">
        <f t="shared" si="33"/>
        <v>3.2161993529006901E-5</v>
      </c>
      <c r="W66" s="2"/>
      <c r="X66" s="7">
        <f t="shared" si="34"/>
        <v>-28.3</v>
      </c>
      <c r="Y66" s="2"/>
      <c r="Z66" s="6">
        <f t="shared" si="35"/>
        <v>-0.94333333333333336</v>
      </c>
    </row>
    <row r="67" spans="1:26" s="28" customFormat="1" outlineLevel="1" collapsed="1" x14ac:dyDescent="0.25">
      <c r="A67" s="27"/>
      <c r="B67" s="14" t="str">
        <f>CONCATENATE("     ","Bank/card Fees                                    ")</f>
        <v xml:space="preserve">     Bank/card Fees                                    </v>
      </c>
      <c r="C67" s="14"/>
      <c r="D67" s="1">
        <f>SUM(OSRRefD22_4x_0)</f>
        <v>395.45</v>
      </c>
      <c r="E67" s="1"/>
      <c r="F67" s="5">
        <f t="shared" si="28"/>
        <v>1.2843525745772175E-3</v>
      </c>
      <c r="G67" s="1"/>
      <c r="H67" s="1">
        <f>SUM(OSRRefH22_4x_0)</f>
        <v>444</v>
      </c>
      <c r="I67" s="1"/>
      <c r="J67" s="5">
        <f t="shared" si="29"/>
        <v>1.8018749239073089E-3</v>
      </c>
      <c r="K67" s="1"/>
      <c r="L67" s="1">
        <f t="shared" si="30"/>
        <v>-48.550000000000011</v>
      </c>
      <c r="M67" s="1"/>
      <c r="N67" s="5">
        <f t="shared" si="31"/>
        <v>-0.10934684684684687</v>
      </c>
      <c r="O67" s="14"/>
      <c r="P67" s="1">
        <f>SUM(OSRRefP22_4x_0)</f>
        <v>1501.98</v>
      </c>
      <c r="Q67" s="1"/>
      <c r="R67" s="5">
        <f t="shared" si="32"/>
        <v>1.6792869782239418E-3</v>
      </c>
      <c r="S67" s="1"/>
      <c r="T67" s="1">
        <f>SUM(OSRRefT22_4x_0)</f>
        <v>1548</v>
      </c>
      <c r="U67" s="1"/>
      <c r="V67" s="5">
        <f t="shared" si="33"/>
        <v>1.6595588660967562E-3</v>
      </c>
      <c r="W67" s="1"/>
      <c r="X67" s="1">
        <f t="shared" si="34"/>
        <v>-46.019999999999982</v>
      </c>
      <c r="Y67" s="1"/>
      <c r="Z67" s="5">
        <f t="shared" si="35"/>
        <v>-2.9728682170542624E-2</v>
      </c>
    </row>
    <row r="68" spans="1:26" s="24" customFormat="1" hidden="1" outlineLevel="2" x14ac:dyDescent="0.25">
      <c r="A68" s="29"/>
      <c r="B68" s="11" t="str">
        <f>CONCATENATE("          ", "6381", " - ", "BANK/CREDIT CARD FEES")</f>
        <v xml:space="preserve">          6381 - BANK/CREDIT CARD FEES</v>
      </c>
      <c r="C68" s="11"/>
      <c r="D68" s="7">
        <v>395.45</v>
      </c>
      <c r="E68" s="2"/>
      <c r="F68" s="6">
        <f t="shared" si="28"/>
        <v>1.2843525745772175E-3</v>
      </c>
      <c r="G68" s="2"/>
      <c r="H68" s="7">
        <v>444</v>
      </c>
      <c r="I68" s="2"/>
      <c r="J68" s="6">
        <f t="shared" si="29"/>
        <v>1.8018749239073089E-3</v>
      </c>
      <c r="K68" s="2"/>
      <c r="L68" s="7">
        <f t="shared" si="30"/>
        <v>-48.550000000000011</v>
      </c>
      <c r="M68" s="2"/>
      <c r="N68" s="6">
        <f t="shared" si="31"/>
        <v>-0.10934684684684687</v>
      </c>
      <c r="O68" s="11"/>
      <c r="P68" s="7">
        <v>1501.98</v>
      </c>
      <c r="Q68" s="2"/>
      <c r="R68" s="6">
        <f t="shared" si="32"/>
        <v>1.6792869782239418E-3</v>
      </c>
      <c r="S68" s="2"/>
      <c r="T68" s="7">
        <v>1548</v>
      </c>
      <c r="U68" s="2"/>
      <c r="V68" s="6">
        <f t="shared" si="33"/>
        <v>1.6595588660967562E-3</v>
      </c>
      <c r="W68" s="2"/>
      <c r="X68" s="7">
        <f t="shared" si="34"/>
        <v>-46.019999999999982</v>
      </c>
      <c r="Y68" s="2"/>
      <c r="Z68" s="6">
        <f t="shared" si="35"/>
        <v>-2.9728682170542624E-2</v>
      </c>
    </row>
    <row r="69" spans="1:26" s="28" customFormat="1" outlineLevel="1" collapsed="1" x14ac:dyDescent="0.25">
      <c r="A69" s="27"/>
      <c r="B69" s="14" t="str">
        <f>CONCATENATE("     ","Discounts and Markdowns                           ")</f>
        <v xml:space="preserve">     Discounts and Markdowns                           </v>
      </c>
      <c r="C69" s="14"/>
      <c r="D69" s="1">
        <f>SUM(OSRRefD22_5x_0)</f>
        <v>66.11</v>
      </c>
      <c r="E69" s="1"/>
      <c r="F69" s="5">
        <f t="shared" si="28"/>
        <v>2.1471374056214403E-4</v>
      </c>
      <c r="G69" s="1"/>
      <c r="H69" s="1">
        <f>SUM(OSRRefH22_5x_0)</f>
        <v>0</v>
      </c>
      <c r="I69" s="1"/>
      <c r="J69" s="5">
        <f t="shared" si="29"/>
        <v>0</v>
      </c>
      <c r="K69" s="1"/>
      <c r="L69" s="1">
        <f t="shared" si="30"/>
        <v>66.11</v>
      </c>
      <c r="M69" s="1"/>
      <c r="N69" s="5">
        <f t="shared" si="31"/>
        <v>0</v>
      </c>
      <c r="O69" s="14"/>
      <c r="P69" s="1">
        <f>SUM(OSRRefP22_5x_0)</f>
        <v>0</v>
      </c>
      <c r="Q69" s="1"/>
      <c r="R69" s="5">
        <f t="shared" si="32"/>
        <v>0</v>
      </c>
      <c r="S69" s="1"/>
      <c r="T69" s="1">
        <f>SUM(OSRRefT22_5x_0)</f>
        <v>0</v>
      </c>
      <c r="U69" s="1"/>
      <c r="V69" s="5">
        <f t="shared" si="33"/>
        <v>0</v>
      </c>
      <c r="W69" s="1"/>
      <c r="X69" s="1">
        <f t="shared" si="34"/>
        <v>0</v>
      </c>
      <c r="Y69" s="1"/>
      <c r="Z69" s="5">
        <f t="shared" si="35"/>
        <v>0</v>
      </c>
    </row>
    <row r="70" spans="1:26" s="24" customFormat="1" hidden="1" outlineLevel="2" x14ac:dyDescent="0.25">
      <c r="A70" s="29"/>
      <c r="B70" s="11" t="str">
        <f>CONCATENATE("          ", "9175", " - ", "EARNED DISCOUNTS")</f>
        <v xml:space="preserve">          9175 - EARNED DISCOUNTS</v>
      </c>
      <c r="C70" s="11"/>
      <c r="D70" s="7">
        <v>66.11</v>
      </c>
      <c r="E70" s="2"/>
      <c r="F70" s="6">
        <f t="shared" si="28"/>
        <v>2.1471374056214403E-4</v>
      </c>
      <c r="G70" s="2"/>
      <c r="H70" s="7"/>
      <c r="I70" s="2"/>
      <c r="J70" s="6">
        <f t="shared" si="29"/>
        <v>0</v>
      </c>
      <c r="K70" s="2"/>
      <c r="L70" s="7">
        <f t="shared" si="30"/>
        <v>66.11</v>
      </c>
      <c r="M70" s="2"/>
      <c r="N70" s="6">
        <f t="shared" si="31"/>
        <v>0</v>
      </c>
      <c r="O70" s="11"/>
      <c r="P70" s="7">
        <v>0</v>
      </c>
      <c r="Q70" s="2"/>
      <c r="R70" s="6">
        <f t="shared" si="32"/>
        <v>0</v>
      </c>
      <c r="S70" s="2"/>
      <c r="T70" s="7"/>
      <c r="U70" s="2"/>
      <c r="V70" s="6">
        <f t="shared" si="33"/>
        <v>0</v>
      </c>
      <c r="W70" s="2"/>
      <c r="X70" s="7">
        <f t="shared" si="34"/>
        <v>0</v>
      </c>
      <c r="Y70" s="2"/>
      <c r="Z70" s="6">
        <f t="shared" si="35"/>
        <v>0</v>
      </c>
    </row>
    <row r="71" spans="1:26" s="28" customFormat="1" outlineLevel="1" collapsed="1" x14ac:dyDescent="0.25">
      <c r="A71" s="27"/>
      <c r="B71" s="14" t="str">
        <f>CONCATENATE("     ","Employees' Appreciation                           ")</f>
        <v xml:space="preserve">     Employees' Appreciation                           </v>
      </c>
      <c r="C71" s="14"/>
      <c r="D71" s="1">
        <f>SUM(OSRRefD22_6x_0)</f>
        <v>0</v>
      </c>
      <c r="E71" s="1"/>
      <c r="F71" s="5">
        <f t="shared" si="28"/>
        <v>0</v>
      </c>
      <c r="G71" s="1"/>
      <c r="H71" s="1">
        <f>SUM(OSRRefH22_6x_0)</f>
        <v>75</v>
      </c>
      <c r="I71" s="1"/>
      <c r="J71" s="5">
        <f t="shared" si="29"/>
        <v>3.043707641735319E-4</v>
      </c>
      <c r="K71" s="1"/>
      <c r="L71" s="1">
        <f t="shared" si="30"/>
        <v>-75</v>
      </c>
      <c r="M71" s="1"/>
      <c r="N71" s="5">
        <f t="shared" si="31"/>
        <v>-1</v>
      </c>
      <c r="O71" s="14"/>
      <c r="P71" s="1">
        <f>SUM(OSRRefP22_6x_0)</f>
        <v>216.44</v>
      </c>
      <c r="Q71" s="1"/>
      <c r="R71" s="5">
        <f t="shared" si="32"/>
        <v>2.4199048826668127E-4</v>
      </c>
      <c r="S71" s="1"/>
      <c r="T71" s="1">
        <f>SUM(OSRRefT22_6x_0)</f>
        <v>225</v>
      </c>
      <c r="U71" s="1"/>
      <c r="V71" s="5">
        <f t="shared" si="33"/>
        <v>2.4121495146755176E-4</v>
      </c>
      <c r="W71" s="1"/>
      <c r="X71" s="1">
        <f t="shared" si="34"/>
        <v>-8.5600000000000023</v>
      </c>
      <c r="Y71" s="1"/>
      <c r="Z71" s="5">
        <f t="shared" si="35"/>
        <v>-3.8044444444444457E-2</v>
      </c>
    </row>
    <row r="72" spans="1:26" s="24" customFormat="1" hidden="1" outlineLevel="2" x14ac:dyDescent="0.25">
      <c r="A72" s="29"/>
      <c r="B72" s="11" t="str">
        <f>CONCATENATE("          ", "6277", " - ", "EMPLOYEE APPRECIATION")</f>
        <v xml:space="preserve">          6277 - EMPLOYEE APPRECIATION</v>
      </c>
      <c r="C72" s="11"/>
      <c r="D72" s="7"/>
      <c r="E72" s="2"/>
      <c r="F72" s="6">
        <f t="shared" si="28"/>
        <v>0</v>
      </c>
      <c r="G72" s="2"/>
      <c r="H72" s="7">
        <v>75</v>
      </c>
      <c r="I72" s="2"/>
      <c r="J72" s="6">
        <f t="shared" si="29"/>
        <v>3.043707641735319E-4</v>
      </c>
      <c r="K72" s="2"/>
      <c r="L72" s="7">
        <f t="shared" si="30"/>
        <v>-75</v>
      </c>
      <c r="M72" s="2"/>
      <c r="N72" s="6">
        <f t="shared" si="31"/>
        <v>-1</v>
      </c>
      <c r="O72" s="11"/>
      <c r="P72" s="7">
        <v>216.44</v>
      </c>
      <c r="Q72" s="2"/>
      <c r="R72" s="6">
        <f t="shared" si="32"/>
        <v>2.4199048826668127E-4</v>
      </c>
      <c r="S72" s="2"/>
      <c r="T72" s="7">
        <v>225</v>
      </c>
      <c r="U72" s="2"/>
      <c r="V72" s="6">
        <f t="shared" si="33"/>
        <v>2.4121495146755176E-4</v>
      </c>
      <c r="W72" s="2"/>
      <c r="X72" s="7">
        <f t="shared" si="34"/>
        <v>-8.5600000000000023</v>
      </c>
      <c r="Y72" s="2"/>
      <c r="Z72" s="6">
        <f t="shared" si="35"/>
        <v>-3.8044444444444457E-2</v>
      </c>
    </row>
    <row r="73" spans="1:26" s="28" customFormat="1" outlineLevel="1" collapsed="1" x14ac:dyDescent="0.25">
      <c r="A73" s="27"/>
      <c r="B73" s="14" t="str">
        <f>CONCATENATE("     ","Freight out/Postage                               ")</f>
        <v xml:space="preserve">     Freight out/Postage                               </v>
      </c>
      <c r="C73" s="14"/>
      <c r="D73" s="1">
        <f>SUM(OSRRefD22_7x_0)</f>
        <v>32.659999999999997</v>
      </c>
      <c r="E73" s="1"/>
      <c r="F73" s="5">
        <f t="shared" si="28"/>
        <v>1.0607397922794771E-4</v>
      </c>
      <c r="G73" s="1"/>
      <c r="H73" s="1">
        <f>SUM(OSRRefH22_7x_0)</f>
        <v>50</v>
      </c>
      <c r="I73" s="1"/>
      <c r="J73" s="5">
        <f t="shared" si="29"/>
        <v>2.0291384278235461E-4</v>
      </c>
      <c r="K73" s="1"/>
      <c r="L73" s="1">
        <f t="shared" si="30"/>
        <v>-17.340000000000003</v>
      </c>
      <c r="M73" s="1"/>
      <c r="N73" s="5">
        <f t="shared" si="31"/>
        <v>-0.34680000000000005</v>
      </c>
      <c r="O73" s="14"/>
      <c r="P73" s="1">
        <f>SUM(OSRRefP22_7x_0)</f>
        <v>905.94999999999993</v>
      </c>
      <c r="Q73" s="1"/>
      <c r="R73" s="5">
        <f t="shared" si="32"/>
        <v>1.0128963354518567E-3</v>
      </c>
      <c r="S73" s="1"/>
      <c r="T73" s="1">
        <f>SUM(OSRRefT22_7x_0)</f>
        <v>150</v>
      </c>
      <c r="U73" s="1"/>
      <c r="V73" s="5">
        <f t="shared" si="33"/>
        <v>1.6080996764503451E-4</v>
      </c>
      <c r="W73" s="1"/>
      <c r="X73" s="1">
        <f t="shared" si="34"/>
        <v>755.94999999999993</v>
      </c>
      <c r="Y73" s="1"/>
      <c r="Z73" s="5">
        <f t="shared" si="35"/>
        <v>5.0396666666666663</v>
      </c>
    </row>
    <row r="74" spans="1:26" s="24" customFormat="1" hidden="1" outlineLevel="2" x14ac:dyDescent="0.25">
      <c r="A74" s="29"/>
      <c r="B74" s="11" t="str">
        <f>CONCATENATE("          ", "6305", " - ", "FREIGHT OUT")</f>
        <v xml:space="preserve">          6305 - FREIGHT OUT</v>
      </c>
      <c r="C74" s="11"/>
      <c r="D74" s="7">
        <v>8.66</v>
      </c>
      <c r="E74" s="2"/>
      <c r="F74" s="6">
        <f t="shared" si="28"/>
        <v>2.8126168405205977E-5</v>
      </c>
      <c r="G74" s="2"/>
      <c r="H74" s="7">
        <v>50</v>
      </c>
      <c r="I74" s="2"/>
      <c r="J74" s="6">
        <f t="shared" si="29"/>
        <v>2.0291384278235461E-4</v>
      </c>
      <c r="K74" s="2"/>
      <c r="L74" s="7">
        <f t="shared" si="30"/>
        <v>-41.34</v>
      </c>
      <c r="M74" s="2"/>
      <c r="N74" s="6">
        <f t="shared" si="31"/>
        <v>-0.82680000000000009</v>
      </c>
      <c r="O74" s="11"/>
      <c r="P74" s="7">
        <v>870.53</v>
      </c>
      <c r="Q74" s="2"/>
      <c r="R74" s="6">
        <f t="shared" si="32"/>
        <v>9.7329504597483852E-4</v>
      </c>
      <c r="S74" s="2"/>
      <c r="T74" s="7">
        <v>150</v>
      </c>
      <c r="U74" s="2"/>
      <c r="V74" s="6">
        <f t="shared" si="33"/>
        <v>1.6080996764503451E-4</v>
      </c>
      <c r="W74" s="2"/>
      <c r="X74" s="7">
        <f t="shared" si="34"/>
        <v>720.53</v>
      </c>
      <c r="Y74" s="2"/>
      <c r="Z74" s="6">
        <f t="shared" si="35"/>
        <v>4.8035333333333332</v>
      </c>
    </row>
    <row r="75" spans="1:26" s="24" customFormat="1" hidden="1" outlineLevel="2" x14ac:dyDescent="0.25">
      <c r="A75" s="29"/>
      <c r="B75" s="11" t="str">
        <f>CONCATENATE("          ", "6307", " - ", "POSTAGE")</f>
        <v xml:space="preserve">          6307 - POSTAGE</v>
      </c>
      <c r="C75" s="11"/>
      <c r="D75" s="7">
        <v>24</v>
      </c>
      <c r="E75" s="2"/>
      <c r="F75" s="6">
        <f t="shared" si="28"/>
        <v>7.7947810822741743E-5</v>
      </c>
      <c r="G75" s="2"/>
      <c r="H75" s="7"/>
      <c r="I75" s="2"/>
      <c r="J75" s="6">
        <f t="shared" si="29"/>
        <v>0</v>
      </c>
      <c r="K75" s="2"/>
      <c r="L75" s="7">
        <f t="shared" si="30"/>
        <v>24</v>
      </c>
      <c r="M75" s="2"/>
      <c r="N75" s="6">
        <f t="shared" si="31"/>
        <v>0</v>
      </c>
      <c r="O75" s="11"/>
      <c r="P75" s="7">
        <v>35.42</v>
      </c>
      <c r="Q75" s="2"/>
      <c r="R75" s="6">
        <f t="shared" si="32"/>
        <v>3.9601289477018347E-5</v>
      </c>
      <c r="S75" s="2"/>
      <c r="T75" s="7"/>
      <c r="U75" s="2"/>
      <c r="V75" s="6">
        <f t="shared" si="33"/>
        <v>0</v>
      </c>
      <c r="W75" s="2"/>
      <c r="X75" s="7">
        <f t="shared" si="34"/>
        <v>35.42</v>
      </c>
      <c r="Y75" s="2"/>
      <c r="Z75" s="6">
        <f t="shared" si="35"/>
        <v>0</v>
      </c>
    </row>
    <row r="76" spans="1:26" s="28" customFormat="1" outlineLevel="1" collapsed="1" x14ac:dyDescent="0.25">
      <c r="A76" s="27"/>
      <c r="B76" s="14" t="str">
        <f>CONCATENATE("     ","General                                           ")</f>
        <v xml:space="preserve">     General                                           </v>
      </c>
      <c r="C76" s="14"/>
      <c r="D76" s="1">
        <f>SUM(OSRRefD22_8x_0)</f>
        <v>0</v>
      </c>
      <c r="E76" s="1"/>
      <c r="F76" s="5">
        <f t="shared" ref="F76:F78" si="36">IF(D$12=0,0,D76/D$12)</f>
        <v>0</v>
      </c>
      <c r="G76" s="1"/>
      <c r="H76" s="1">
        <f>SUM(OSRRefH22_8x_0)</f>
        <v>0</v>
      </c>
      <c r="I76" s="1"/>
      <c r="J76" s="5">
        <f t="shared" ref="J76:J78" si="37">IF(H$12=0,0,H76/H$12)</f>
        <v>0</v>
      </c>
      <c r="K76" s="1"/>
      <c r="L76" s="1">
        <f t="shared" ref="L76:L78" si="38">+D76-H76</f>
        <v>0</v>
      </c>
      <c r="M76" s="1"/>
      <c r="N76" s="5">
        <f t="shared" ref="N76:N78" si="39">IF(H76=0,0,L76/H76)</f>
        <v>0</v>
      </c>
      <c r="O76" s="14"/>
      <c r="P76" s="1">
        <f>SUM(OSRRefP22_8x_0)</f>
        <v>0</v>
      </c>
      <c r="Q76" s="1"/>
      <c r="R76" s="5">
        <f t="shared" ref="R76:R78" si="40">IF(P$12=0,0,P76/P$12)</f>
        <v>0</v>
      </c>
      <c r="S76" s="1"/>
      <c r="T76" s="1">
        <f>SUM(OSRRefT22_8x_0)</f>
        <v>125</v>
      </c>
      <c r="U76" s="1"/>
      <c r="V76" s="5">
        <f t="shared" ref="V76:V78" si="41">IF(T$12=0,0,T76/T$12)</f>
        <v>1.3400830637086208E-4</v>
      </c>
      <c r="W76" s="1"/>
      <c r="X76" s="1">
        <f t="shared" ref="X76:X78" si="42">+P76-T76</f>
        <v>-125</v>
      </c>
      <c r="Y76" s="1"/>
      <c r="Z76" s="5">
        <f t="shared" ref="Z76:Z78" si="43">IF(T76=0,0,X76/T76)</f>
        <v>-1</v>
      </c>
    </row>
    <row r="77" spans="1:26" s="24" customFormat="1" hidden="1" outlineLevel="2" x14ac:dyDescent="0.25">
      <c r="A77" s="29"/>
      <c r="B77" s="11" t="str">
        <f>CONCATENATE("          ", "6276", " - ", "PROPERTY TAX")</f>
        <v xml:space="preserve">          6276 - PROPERTY TAX</v>
      </c>
      <c r="C77" s="11"/>
      <c r="D77" s="7"/>
      <c r="E77" s="2"/>
      <c r="F77" s="6">
        <f t="shared" si="36"/>
        <v>0</v>
      </c>
      <c r="G77" s="2"/>
      <c r="H77" s="7"/>
      <c r="I77" s="2"/>
      <c r="J77" s="6">
        <f t="shared" si="37"/>
        <v>0</v>
      </c>
      <c r="K77" s="2"/>
      <c r="L77" s="7">
        <f t="shared" si="38"/>
        <v>0</v>
      </c>
      <c r="M77" s="2"/>
      <c r="N77" s="6">
        <f t="shared" si="39"/>
        <v>0</v>
      </c>
      <c r="O77" s="11"/>
      <c r="P77" s="7"/>
      <c r="Q77" s="2"/>
      <c r="R77" s="6">
        <f t="shared" si="40"/>
        <v>0</v>
      </c>
      <c r="S77" s="2"/>
      <c r="T77" s="7">
        <v>125</v>
      </c>
      <c r="U77" s="2"/>
      <c r="V77" s="6">
        <f t="shared" si="41"/>
        <v>1.3400830637086208E-4</v>
      </c>
      <c r="W77" s="2"/>
      <c r="X77" s="7">
        <f t="shared" si="42"/>
        <v>-125</v>
      </c>
      <c r="Y77" s="2"/>
      <c r="Z77" s="6">
        <f t="shared" si="43"/>
        <v>-1</v>
      </c>
    </row>
    <row r="78" spans="1:26" s="24" customFormat="1" hidden="1" outlineLevel="2" x14ac:dyDescent="0.25">
      <c r="A78" s="29"/>
      <c r="B78" s="11" t="str">
        <f>CONCATENATE("          ", "6279", " - ", "GENERAL EXPENSE")</f>
        <v xml:space="preserve">          6279 - GENERAL EXPENSE</v>
      </c>
      <c r="C78" s="11"/>
      <c r="D78" s="7"/>
      <c r="E78" s="2"/>
      <c r="F78" s="6">
        <f t="shared" si="36"/>
        <v>0</v>
      </c>
      <c r="G78" s="2"/>
      <c r="H78" s="7">
        <v>0</v>
      </c>
      <c r="I78" s="2"/>
      <c r="J78" s="6">
        <f t="shared" si="37"/>
        <v>0</v>
      </c>
      <c r="K78" s="2"/>
      <c r="L78" s="7">
        <f t="shared" si="38"/>
        <v>0</v>
      </c>
      <c r="M78" s="2"/>
      <c r="N78" s="6">
        <f t="shared" si="39"/>
        <v>0</v>
      </c>
      <c r="O78" s="11"/>
      <c r="P78" s="7"/>
      <c r="Q78" s="2"/>
      <c r="R78" s="6">
        <f t="shared" si="40"/>
        <v>0</v>
      </c>
      <c r="S78" s="2"/>
      <c r="T78" s="7">
        <v>0</v>
      </c>
      <c r="U78" s="2"/>
      <c r="V78" s="6">
        <f t="shared" si="41"/>
        <v>0</v>
      </c>
      <c r="W78" s="2"/>
      <c r="X78" s="7">
        <f t="shared" si="42"/>
        <v>0</v>
      </c>
      <c r="Y78" s="2"/>
      <c r="Z78" s="6">
        <f t="shared" si="43"/>
        <v>0</v>
      </c>
    </row>
    <row r="79" spans="1:26" s="28" customFormat="1" outlineLevel="1" collapsed="1" x14ac:dyDescent="0.25">
      <c r="A79" s="27"/>
      <c r="B79" s="14" t="str">
        <f>CONCATENATE("     ","Insurance                                         ")</f>
        <v xml:space="preserve">     Insurance                                         </v>
      </c>
      <c r="C79" s="14"/>
      <c r="D79" s="1">
        <f>SUM(OSRRefD22_9x_0)</f>
        <v>219.08</v>
      </c>
      <c r="E79" s="1"/>
      <c r="F79" s="5">
        <f t="shared" ref="F79:F89" si="44">IF(D$12=0,0,D79/D$12)</f>
        <v>7.1153359979359422E-4</v>
      </c>
      <c r="G79" s="1"/>
      <c r="H79" s="1">
        <f>SUM(OSRRefH22_9x_0)</f>
        <v>175</v>
      </c>
      <c r="I79" s="1"/>
      <c r="J79" s="5">
        <f t="shared" ref="J79:J89" si="45">IF(H$12=0,0,H79/H$12)</f>
        <v>7.1019844973824111E-4</v>
      </c>
      <c r="K79" s="1"/>
      <c r="L79" s="1">
        <f t="shared" ref="L79:L89" si="46">+D79-H79</f>
        <v>44.080000000000013</v>
      </c>
      <c r="M79" s="1"/>
      <c r="N79" s="5">
        <f t="shared" ref="N79:N89" si="47">IF(H79=0,0,L79/H79)</f>
        <v>0.25188571428571438</v>
      </c>
      <c r="O79" s="14"/>
      <c r="P79" s="1">
        <f>SUM(OSRRefP22_9x_0)</f>
        <v>657.24</v>
      </c>
      <c r="Q79" s="1"/>
      <c r="R79" s="5">
        <f t="shared" ref="R79:R89" si="48">IF(P$12=0,0,P79/P$12)</f>
        <v>7.34826411515402E-4</v>
      </c>
      <c r="S79" s="1"/>
      <c r="T79" s="1">
        <f>SUM(OSRRefT22_9x_0)</f>
        <v>525</v>
      </c>
      <c r="U79" s="1"/>
      <c r="V79" s="5">
        <f t="shared" ref="V79:V89" si="49">IF(T$12=0,0,T79/T$12)</f>
        <v>5.628348867576208E-4</v>
      </c>
      <c r="W79" s="1"/>
      <c r="X79" s="1">
        <f t="shared" ref="X79:X89" si="50">+P79-T79</f>
        <v>132.24</v>
      </c>
      <c r="Y79" s="1"/>
      <c r="Z79" s="5">
        <f t="shared" ref="Z79:Z89" si="51">IF(T79=0,0,X79/T79)</f>
        <v>0.25188571428571432</v>
      </c>
    </row>
    <row r="80" spans="1:26" s="24" customFormat="1" hidden="1" outlineLevel="2" x14ac:dyDescent="0.25">
      <c r="A80" s="29"/>
      <c r="B80" s="11" t="str">
        <f>CONCATENATE("          ", "6314", " - ", "LIABILITY INSURANCE")</f>
        <v xml:space="preserve">          6314 - LIABILITY INSURANCE</v>
      </c>
      <c r="C80" s="11"/>
      <c r="D80" s="7">
        <v>219.08</v>
      </c>
      <c r="E80" s="2"/>
      <c r="F80" s="6">
        <f t="shared" si="44"/>
        <v>7.1153359979359422E-4</v>
      </c>
      <c r="G80" s="2"/>
      <c r="H80" s="7">
        <v>175</v>
      </c>
      <c r="I80" s="2"/>
      <c r="J80" s="6">
        <f t="shared" si="45"/>
        <v>7.1019844973824111E-4</v>
      </c>
      <c r="K80" s="2"/>
      <c r="L80" s="7">
        <f t="shared" si="46"/>
        <v>44.080000000000013</v>
      </c>
      <c r="M80" s="2"/>
      <c r="N80" s="6">
        <f t="shared" si="47"/>
        <v>0.25188571428571438</v>
      </c>
      <c r="O80" s="11"/>
      <c r="P80" s="7">
        <v>657.24</v>
      </c>
      <c r="Q80" s="2"/>
      <c r="R80" s="6">
        <f t="shared" si="48"/>
        <v>7.34826411515402E-4</v>
      </c>
      <c r="S80" s="2"/>
      <c r="T80" s="7">
        <v>525</v>
      </c>
      <c r="U80" s="2"/>
      <c r="V80" s="6">
        <f t="shared" si="49"/>
        <v>5.628348867576208E-4</v>
      </c>
      <c r="W80" s="2"/>
      <c r="X80" s="7">
        <f t="shared" si="50"/>
        <v>132.24</v>
      </c>
      <c r="Y80" s="2"/>
      <c r="Z80" s="6">
        <f t="shared" si="51"/>
        <v>0.25188571428571432</v>
      </c>
    </row>
    <row r="81" spans="1:26" s="28" customFormat="1" outlineLevel="1" collapsed="1" x14ac:dyDescent="0.25">
      <c r="A81" s="27"/>
      <c r="B81" s="14" t="str">
        <f>CONCATENATE("     ","Inventory Adjustment                              ")</f>
        <v xml:space="preserve">     Inventory Adjustment                              </v>
      </c>
      <c r="C81" s="14"/>
      <c r="D81" s="1">
        <f>SUM(OSRRefD22_10x_0)</f>
        <v>3450</v>
      </c>
      <c r="E81" s="1"/>
      <c r="F81" s="5">
        <f t="shared" si="44"/>
        <v>1.1204997805769125E-2</v>
      </c>
      <c r="G81" s="1"/>
      <c r="H81" s="1">
        <f>SUM(OSRRefH22_10x_0)</f>
        <v>3450</v>
      </c>
      <c r="I81" s="1"/>
      <c r="J81" s="5">
        <f t="shared" si="45"/>
        <v>1.4001055151982468E-2</v>
      </c>
      <c r="K81" s="1"/>
      <c r="L81" s="1">
        <f t="shared" si="46"/>
        <v>0</v>
      </c>
      <c r="M81" s="1"/>
      <c r="N81" s="5">
        <f t="shared" si="47"/>
        <v>0</v>
      </c>
      <c r="O81" s="14"/>
      <c r="P81" s="1">
        <f>SUM(OSRRefP22_10x_0)</f>
        <v>10350</v>
      </c>
      <c r="Q81" s="1"/>
      <c r="R81" s="5">
        <f t="shared" si="48"/>
        <v>1.1571805366661206E-2</v>
      </c>
      <c r="S81" s="1"/>
      <c r="T81" s="1">
        <f>SUM(OSRRefT22_10x_0)</f>
        <v>10350</v>
      </c>
      <c r="U81" s="1"/>
      <c r="V81" s="5">
        <f t="shared" si="49"/>
        <v>1.1095887767507381E-2</v>
      </c>
      <c r="W81" s="1"/>
      <c r="X81" s="1">
        <f t="shared" si="50"/>
        <v>0</v>
      </c>
      <c r="Y81" s="1"/>
      <c r="Z81" s="5">
        <f t="shared" si="51"/>
        <v>0</v>
      </c>
    </row>
    <row r="82" spans="1:26" s="24" customFormat="1" hidden="1" outlineLevel="2" x14ac:dyDescent="0.25">
      <c r="A82" s="29"/>
      <c r="B82" s="11" t="str">
        <f>CONCATENATE("          ", "6408", " - ", "INVENTORY ADJUSTMENT")</f>
        <v xml:space="preserve">          6408 - INVENTORY ADJUSTMENT</v>
      </c>
      <c r="C82" s="11"/>
      <c r="D82" s="7">
        <v>3450</v>
      </c>
      <c r="E82" s="2"/>
      <c r="F82" s="6">
        <f t="shared" si="44"/>
        <v>1.1204997805769125E-2</v>
      </c>
      <c r="G82" s="2"/>
      <c r="H82" s="7">
        <v>3450</v>
      </c>
      <c r="I82" s="2"/>
      <c r="J82" s="6">
        <f t="shared" si="45"/>
        <v>1.4001055151982468E-2</v>
      </c>
      <c r="K82" s="2"/>
      <c r="L82" s="7">
        <f t="shared" si="46"/>
        <v>0</v>
      </c>
      <c r="M82" s="2"/>
      <c r="N82" s="6">
        <f t="shared" si="47"/>
        <v>0</v>
      </c>
      <c r="O82" s="11"/>
      <c r="P82" s="7">
        <v>10350</v>
      </c>
      <c r="Q82" s="2"/>
      <c r="R82" s="6">
        <f t="shared" si="48"/>
        <v>1.1571805366661206E-2</v>
      </c>
      <c r="S82" s="2"/>
      <c r="T82" s="7">
        <v>10350</v>
      </c>
      <c r="U82" s="2"/>
      <c r="V82" s="6">
        <f t="shared" si="49"/>
        <v>1.1095887767507381E-2</v>
      </c>
      <c r="W82" s="2"/>
      <c r="X82" s="7">
        <f t="shared" si="50"/>
        <v>0</v>
      </c>
      <c r="Y82" s="2"/>
      <c r="Z82" s="6">
        <f t="shared" si="51"/>
        <v>0</v>
      </c>
    </row>
    <row r="83" spans="1:26" s="28" customFormat="1" outlineLevel="1" collapsed="1" x14ac:dyDescent="0.25">
      <c r="A83" s="27"/>
      <c r="B83" s="14" t="str">
        <f>CONCATENATE("     ","Professional Services                             ")</f>
        <v xml:space="preserve">     Professional Services                             </v>
      </c>
      <c r="C83" s="14"/>
      <c r="D83" s="1">
        <f>SUM(OSRRefD22_11x_0)</f>
        <v>0</v>
      </c>
      <c r="E83" s="1"/>
      <c r="F83" s="5">
        <f t="shared" si="44"/>
        <v>0</v>
      </c>
      <c r="G83" s="1"/>
      <c r="H83" s="1">
        <f>SUM(OSRRefH22_11x_0)</f>
        <v>0</v>
      </c>
      <c r="I83" s="1"/>
      <c r="J83" s="5">
        <f t="shared" si="45"/>
        <v>0</v>
      </c>
      <c r="K83" s="1"/>
      <c r="L83" s="1">
        <f t="shared" si="46"/>
        <v>0</v>
      </c>
      <c r="M83" s="1"/>
      <c r="N83" s="5">
        <f t="shared" si="47"/>
        <v>0</v>
      </c>
      <c r="O83" s="14"/>
      <c r="P83" s="1">
        <f>SUM(OSRRefP22_11x_0)</f>
        <v>0</v>
      </c>
      <c r="Q83" s="1"/>
      <c r="R83" s="5">
        <f t="shared" si="48"/>
        <v>0</v>
      </c>
      <c r="S83" s="1"/>
      <c r="T83" s="1">
        <f>SUM(OSRRefT22_11x_0)</f>
        <v>1000</v>
      </c>
      <c r="U83" s="1"/>
      <c r="V83" s="5">
        <f t="shared" si="49"/>
        <v>1.0720664509668966E-3</v>
      </c>
      <c r="W83" s="1"/>
      <c r="X83" s="1">
        <f t="shared" si="50"/>
        <v>-1000</v>
      </c>
      <c r="Y83" s="1"/>
      <c r="Z83" s="5">
        <f t="shared" si="51"/>
        <v>-1</v>
      </c>
    </row>
    <row r="84" spans="1:26" s="24" customFormat="1" hidden="1" outlineLevel="2" x14ac:dyDescent="0.25">
      <c r="A84" s="29"/>
      <c r="B84" s="11" t="str">
        <f>CONCATENATE("          ", "6336", " - ", "PROFESSIONAL SERVICES")</f>
        <v xml:space="preserve">          6336 - PROFESSIONAL SERVICES</v>
      </c>
      <c r="C84" s="11"/>
      <c r="D84" s="7"/>
      <c r="E84" s="2"/>
      <c r="F84" s="6">
        <f t="shared" si="44"/>
        <v>0</v>
      </c>
      <c r="G84" s="2"/>
      <c r="H84" s="7">
        <v>0</v>
      </c>
      <c r="I84" s="2"/>
      <c r="J84" s="6">
        <f t="shared" si="45"/>
        <v>0</v>
      </c>
      <c r="K84" s="2"/>
      <c r="L84" s="7">
        <f t="shared" si="46"/>
        <v>0</v>
      </c>
      <c r="M84" s="2"/>
      <c r="N84" s="6">
        <f t="shared" si="47"/>
        <v>0</v>
      </c>
      <c r="O84" s="11"/>
      <c r="P84" s="7"/>
      <c r="Q84" s="2"/>
      <c r="R84" s="6">
        <f t="shared" si="48"/>
        <v>0</v>
      </c>
      <c r="S84" s="2"/>
      <c r="T84" s="7">
        <v>1000</v>
      </c>
      <c r="U84" s="2"/>
      <c r="V84" s="6">
        <f t="shared" si="49"/>
        <v>1.0720664509668966E-3</v>
      </c>
      <c r="W84" s="2"/>
      <c r="X84" s="7">
        <f t="shared" si="50"/>
        <v>-1000</v>
      </c>
      <c r="Y84" s="2"/>
      <c r="Z84" s="6">
        <f t="shared" si="51"/>
        <v>-1</v>
      </c>
    </row>
    <row r="85" spans="1:26" s="28" customFormat="1" outlineLevel="1" collapsed="1" x14ac:dyDescent="0.25">
      <c r="A85" s="27"/>
      <c r="B85" s="14" t="str">
        <f>CONCATENATE("     ","Rent                                              ")</f>
        <v xml:space="preserve">     Rent                                              </v>
      </c>
      <c r="C85" s="14"/>
      <c r="D85" s="1">
        <f>SUM(OSRRefD22_12x_0)</f>
        <v>6900</v>
      </c>
      <c r="E85" s="1"/>
      <c r="F85" s="5">
        <f t="shared" si="44"/>
        <v>2.2409995611538249E-2</v>
      </c>
      <c r="G85" s="1"/>
      <c r="H85" s="1">
        <f>SUM(OSRRefH22_12x_0)</f>
        <v>6900</v>
      </c>
      <c r="I85" s="1"/>
      <c r="J85" s="5">
        <f t="shared" si="45"/>
        <v>2.8002110303964937E-2</v>
      </c>
      <c r="K85" s="1"/>
      <c r="L85" s="1">
        <f t="shared" si="46"/>
        <v>0</v>
      </c>
      <c r="M85" s="1"/>
      <c r="N85" s="5">
        <f t="shared" si="47"/>
        <v>0</v>
      </c>
      <c r="O85" s="14"/>
      <c r="P85" s="1">
        <f>SUM(OSRRefP22_12x_0)</f>
        <v>20700</v>
      </c>
      <c r="Q85" s="1"/>
      <c r="R85" s="5">
        <f t="shared" si="48"/>
        <v>2.3143610733322412E-2</v>
      </c>
      <c r="S85" s="1"/>
      <c r="T85" s="1">
        <f>SUM(OSRRefT22_12x_0)</f>
        <v>20700</v>
      </c>
      <c r="U85" s="1"/>
      <c r="V85" s="5">
        <f t="shared" si="49"/>
        <v>2.2191775535014762E-2</v>
      </c>
      <c r="W85" s="1"/>
      <c r="X85" s="1">
        <f t="shared" si="50"/>
        <v>0</v>
      </c>
      <c r="Y85" s="1"/>
      <c r="Z85" s="5">
        <f t="shared" si="51"/>
        <v>0</v>
      </c>
    </row>
    <row r="86" spans="1:26" s="24" customFormat="1" hidden="1" outlineLevel="2" x14ac:dyDescent="0.25">
      <c r="A86" s="29"/>
      <c r="B86" s="11" t="str">
        <f>CONCATENATE("          ", "6273", " - ", "RENT")</f>
        <v xml:space="preserve">          6273 - RENT</v>
      </c>
      <c r="C86" s="11"/>
      <c r="D86" s="7">
        <v>6900</v>
      </c>
      <c r="E86" s="2"/>
      <c r="F86" s="6">
        <f t="shared" si="44"/>
        <v>2.2409995611538249E-2</v>
      </c>
      <c r="G86" s="2"/>
      <c r="H86" s="7">
        <v>6900</v>
      </c>
      <c r="I86" s="2"/>
      <c r="J86" s="6">
        <f t="shared" si="45"/>
        <v>2.8002110303964937E-2</v>
      </c>
      <c r="K86" s="2"/>
      <c r="L86" s="7">
        <f t="shared" si="46"/>
        <v>0</v>
      </c>
      <c r="M86" s="2"/>
      <c r="N86" s="6">
        <f t="shared" si="47"/>
        <v>0</v>
      </c>
      <c r="O86" s="11"/>
      <c r="P86" s="7">
        <v>20700</v>
      </c>
      <c r="Q86" s="2"/>
      <c r="R86" s="6">
        <f t="shared" si="48"/>
        <v>2.3143610733322412E-2</v>
      </c>
      <c r="S86" s="2"/>
      <c r="T86" s="7">
        <v>20700</v>
      </c>
      <c r="U86" s="2"/>
      <c r="V86" s="6">
        <f t="shared" si="49"/>
        <v>2.2191775535014762E-2</v>
      </c>
      <c r="W86" s="2"/>
      <c r="X86" s="7">
        <f t="shared" si="50"/>
        <v>0</v>
      </c>
      <c r="Y86" s="2"/>
      <c r="Z86" s="6">
        <f t="shared" si="51"/>
        <v>0</v>
      </c>
    </row>
    <row r="87" spans="1:26" s="28" customFormat="1" outlineLevel="1" collapsed="1" x14ac:dyDescent="0.25">
      <c r="A87" s="27"/>
      <c r="B87" s="14" t="str">
        <f>CONCATENATE("     ","Repair and Maintenance                            ")</f>
        <v xml:space="preserve">     Repair and Maintenance                            </v>
      </c>
      <c r="C87" s="14"/>
      <c r="D87" s="1">
        <f>SUM(OSRRefD22_13x_0)</f>
        <v>230.9</v>
      </c>
      <c r="E87" s="1"/>
      <c r="F87" s="5">
        <f t="shared" si="44"/>
        <v>7.4992289662379451E-4</v>
      </c>
      <c r="G87" s="1"/>
      <c r="H87" s="1">
        <f>SUM(OSRRefH22_13x_0)</f>
        <v>115</v>
      </c>
      <c r="I87" s="1"/>
      <c r="J87" s="5">
        <f t="shared" si="45"/>
        <v>4.6670183839941562E-4</v>
      </c>
      <c r="K87" s="1"/>
      <c r="L87" s="1">
        <f t="shared" si="46"/>
        <v>115.9</v>
      </c>
      <c r="M87" s="1"/>
      <c r="N87" s="5">
        <f t="shared" si="47"/>
        <v>1.0078260869565219</v>
      </c>
      <c r="O87" s="14"/>
      <c r="P87" s="1">
        <f>SUM(OSRRefP22_13x_0)</f>
        <v>1012.96</v>
      </c>
      <c r="Q87" s="1"/>
      <c r="R87" s="5">
        <f t="shared" si="48"/>
        <v>1.1325387405036846E-3</v>
      </c>
      <c r="S87" s="1"/>
      <c r="T87" s="1">
        <f>SUM(OSRRefT22_13x_0)</f>
        <v>345</v>
      </c>
      <c r="U87" s="1"/>
      <c r="V87" s="5">
        <f t="shared" si="49"/>
        <v>3.6986292558357939E-4</v>
      </c>
      <c r="W87" s="1"/>
      <c r="X87" s="1">
        <f t="shared" si="50"/>
        <v>667.96</v>
      </c>
      <c r="Y87" s="1"/>
      <c r="Z87" s="5">
        <f t="shared" si="51"/>
        <v>1.9361159420289855</v>
      </c>
    </row>
    <row r="88" spans="1:26" s="24" customFormat="1" hidden="1" outlineLevel="2" x14ac:dyDescent="0.25">
      <c r="A88" s="29"/>
      <c r="B88" s="11" t="str">
        <f>CONCATENATE("          ", "6373", " - ", "MAINTENANCE CONTRACTS")</f>
        <v xml:space="preserve">          6373 - MAINTENANCE CONTRACTS</v>
      </c>
      <c r="C88" s="11"/>
      <c r="D88" s="7">
        <v>230.9</v>
      </c>
      <c r="E88" s="2"/>
      <c r="F88" s="6">
        <f t="shared" si="44"/>
        <v>7.4992289662379451E-4</v>
      </c>
      <c r="G88" s="2"/>
      <c r="H88" s="7">
        <v>115</v>
      </c>
      <c r="I88" s="2"/>
      <c r="J88" s="6">
        <f t="shared" si="45"/>
        <v>4.6670183839941562E-4</v>
      </c>
      <c r="K88" s="2"/>
      <c r="L88" s="7">
        <f t="shared" si="46"/>
        <v>115.9</v>
      </c>
      <c r="M88" s="2"/>
      <c r="N88" s="6">
        <f t="shared" si="47"/>
        <v>1.0078260869565219</v>
      </c>
      <c r="O88" s="11"/>
      <c r="P88" s="7">
        <v>236.6</v>
      </c>
      <c r="Q88" s="2"/>
      <c r="R88" s="6">
        <f t="shared" si="48"/>
        <v>2.6453035263304745E-4</v>
      </c>
      <c r="S88" s="2"/>
      <c r="T88" s="7">
        <v>345</v>
      </c>
      <c r="U88" s="2"/>
      <c r="V88" s="6">
        <f t="shared" si="49"/>
        <v>3.6986292558357939E-4</v>
      </c>
      <c r="W88" s="2"/>
      <c r="X88" s="7">
        <f t="shared" si="50"/>
        <v>-108.4</v>
      </c>
      <c r="Y88" s="2"/>
      <c r="Z88" s="6">
        <f t="shared" si="51"/>
        <v>-0.31420289855072464</v>
      </c>
    </row>
    <row r="89" spans="1:26" s="24" customFormat="1" hidden="1" outlineLevel="2" x14ac:dyDescent="0.25">
      <c r="A89" s="29"/>
      <c r="B89" s="11" t="str">
        <f>CONCATENATE("          ", "6375", " - ", "OUTSIDE REPAIRS &amp; MAINTENANCE")</f>
        <v xml:space="preserve">          6375 - OUTSIDE REPAIRS &amp; MAINTENANCE</v>
      </c>
      <c r="C89" s="11"/>
      <c r="D89" s="7"/>
      <c r="E89" s="2"/>
      <c r="F89" s="6">
        <f t="shared" si="44"/>
        <v>0</v>
      </c>
      <c r="G89" s="2"/>
      <c r="H89" s="7">
        <v>0</v>
      </c>
      <c r="I89" s="2"/>
      <c r="J89" s="6">
        <f t="shared" si="45"/>
        <v>0</v>
      </c>
      <c r="K89" s="2"/>
      <c r="L89" s="7">
        <f t="shared" si="46"/>
        <v>0</v>
      </c>
      <c r="M89" s="2"/>
      <c r="N89" s="6">
        <f t="shared" si="47"/>
        <v>0</v>
      </c>
      <c r="O89" s="11"/>
      <c r="P89" s="7">
        <v>776.36</v>
      </c>
      <c r="Q89" s="2"/>
      <c r="R89" s="6">
        <f t="shared" si="48"/>
        <v>8.6800838787063706E-4</v>
      </c>
      <c r="S89" s="2"/>
      <c r="T89" s="7">
        <v>0</v>
      </c>
      <c r="U89" s="2"/>
      <c r="V89" s="6">
        <f t="shared" si="49"/>
        <v>0</v>
      </c>
      <c r="W89" s="2"/>
      <c r="X89" s="7">
        <f t="shared" si="50"/>
        <v>776.36</v>
      </c>
      <c r="Y89" s="2"/>
      <c r="Z89" s="6">
        <f t="shared" si="51"/>
        <v>0</v>
      </c>
    </row>
    <row r="90" spans="1:26" s="28" customFormat="1" outlineLevel="1" collapsed="1" x14ac:dyDescent="0.25">
      <c r="A90" s="27"/>
      <c r="B90" s="14" t="str">
        <f>CONCATENATE("     ","Royalty &amp; Commissions                             ")</f>
        <v xml:space="preserve">     Royalty &amp; Commissions                             </v>
      </c>
      <c r="C90" s="14"/>
      <c r="D90" s="1">
        <f>SUM(OSRRefD22_14x_0)</f>
        <v>0</v>
      </c>
      <c r="E90" s="1"/>
      <c r="F90" s="5">
        <f t="shared" ref="F90:F93" si="52">IF(D$12=0,0,D90/D$12)</f>
        <v>0</v>
      </c>
      <c r="G90" s="1"/>
      <c r="H90" s="1">
        <f>SUM(OSRRefH22_14x_0)</f>
        <v>1266</v>
      </c>
      <c r="I90" s="1"/>
      <c r="J90" s="5">
        <f t="shared" ref="J90:J93" si="53">IF(H$12=0,0,H90/H$12)</f>
        <v>5.1377784992492192E-3</v>
      </c>
      <c r="K90" s="1"/>
      <c r="L90" s="1">
        <f t="shared" ref="L90:L93" si="54">+D90-H90</f>
        <v>-1266</v>
      </c>
      <c r="M90" s="1"/>
      <c r="N90" s="5">
        <f t="shared" ref="N90:N93" si="55">IF(H90=0,0,L90/H90)</f>
        <v>-1</v>
      </c>
      <c r="O90" s="14"/>
      <c r="P90" s="1">
        <f>SUM(OSRRefP22_14x_0)</f>
        <v>7349.0400000000009</v>
      </c>
      <c r="Q90" s="1"/>
      <c r="R90" s="5">
        <f t="shared" ref="R90:R93" si="56">IF(P$12=0,0,P90/P$12)</f>
        <v>8.2165855566964131E-3</v>
      </c>
      <c r="S90" s="1"/>
      <c r="T90" s="1">
        <f>SUM(OSRRefT22_14x_0)</f>
        <v>9860</v>
      </c>
      <c r="U90" s="1"/>
      <c r="V90" s="5">
        <f t="shared" ref="V90:V93" si="57">IF(T$12=0,0,T90/T$12)</f>
        <v>1.0570575206533601E-2</v>
      </c>
      <c r="W90" s="1"/>
      <c r="X90" s="1">
        <f t="shared" ref="X90:X93" si="58">+P90-T90</f>
        <v>-2510.9599999999991</v>
      </c>
      <c r="Y90" s="1"/>
      <c r="Z90" s="5">
        <f t="shared" ref="Z90:Z93" si="59">IF(T90=0,0,X90/T90)</f>
        <v>-0.25466125760649078</v>
      </c>
    </row>
    <row r="91" spans="1:26" s="24" customFormat="1" hidden="1" outlineLevel="2" x14ac:dyDescent="0.25">
      <c r="A91" s="29"/>
      <c r="B91" s="11" t="str">
        <f>CONCATENATE("          ", "6252", " - ", "ROYALTY DUE CSTV")</f>
        <v xml:space="preserve">          6252 - ROYALTY DUE CSTV</v>
      </c>
      <c r="C91" s="11"/>
      <c r="D91" s="7"/>
      <c r="E91" s="2"/>
      <c r="F91" s="6">
        <f t="shared" si="52"/>
        <v>0</v>
      </c>
      <c r="G91" s="2"/>
      <c r="H91" s="7">
        <v>1266</v>
      </c>
      <c r="I91" s="2"/>
      <c r="J91" s="6">
        <f t="shared" si="53"/>
        <v>5.1377784992492192E-3</v>
      </c>
      <c r="K91" s="2"/>
      <c r="L91" s="7">
        <f t="shared" si="54"/>
        <v>-1266</v>
      </c>
      <c r="M91" s="2"/>
      <c r="N91" s="6">
        <f t="shared" si="55"/>
        <v>-1</v>
      </c>
      <c r="O91" s="11"/>
      <c r="P91" s="7"/>
      <c r="Q91" s="2"/>
      <c r="R91" s="6">
        <f t="shared" si="56"/>
        <v>0</v>
      </c>
      <c r="S91" s="2"/>
      <c r="T91" s="7">
        <v>4188</v>
      </c>
      <c r="U91" s="2"/>
      <c r="V91" s="6">
        <f t="shared" si="57"/>
        <v>4.4898142966493639E-3</v>
      </c>
      <c r="W91" s="2"/>
      <c r="X91" s="7">
        <f t="shared" si="58"/>
        <v>-4188</v>
      </c>
      <c r="Y91" s="2"/>
      <c r="Z91" s="6">
        <f t="shared" si="59"/>
        <v>-1</v>
      </c>
    </row>
    <row r="92" spans="1:26" s="24" customFormat="1" hidden="1" outlineLevel="2" x14ac:dyDescent="0.25">
      <c r="A92" s="29"/>
      <c r="B92" s="11" t="str">
        <f>CONCATENATE("          ", "6253", " - ", "ROYALTY DUE ATHLETICS-LRG")</f>
        <v xml:space="preserve">          6253 - ROYALTY DUE ATHLETICS-LRG</v>
      </c>
      <c r="C92" s="11"/>
      <c r="D92" s="7"/>
      <c r="E92" s="2"/>
      <c r="F92" s="6">
        <f t="shared" si="52"/>
        <v>0</v>
      </c>
      <c r="G92" s="2"/>
      <c r="H92" s="7">
        <v>0</v>
      </c>
      <c r="I92" s="2"/>
      <c r="J92" s="6">
        <f t="shared" si="53"/>
        <v>0</v>
      </c>
      <c r="K92" s="2"/>
      <c r="L92" s="7">
        <f t="shared" si="54"/>
        <v>0</v>
      </c>
      <c r="M92" s="2"/>
      <c r="N92" s="6">
        <f t="shared" si="55"/>
        <v>0</v>
      </c>
      <c r="O92" s="11"/>
      <c r="P92" s="7">
        <v>14376.54</v>
      </c>
      <c r="Q92" s="2"/>
      <c r="R92" s="6">
        <f t="shared" si="56"/>
        <v>1.6073673693335216E-2</v>
      </c>
      <c r="S92" s="2"/>
      <c r="T92" s="7">
        <v>5672</v>
      </c>
      <c r="U92" s="2"/>
      <c r="V92" s="6">
        <f t="shared" si="57"/>
        <v>6.0807609098842384E-3</v>
      </c>
      <c r="W92" s="2"/>
      <c r="X92" s="7">
        <f t="shared" si="58"/>
        <v>8704.5400000000009</v>
      </c>
      <c r="Y92" s="2"/>
      <c r="Z92" s="6">
        <f t="shared" si="59"/>
        <v>1.5346509167842033</v>
      </c>
    </row>
    <row r="93" spans="1:26" s="24" customFormat="1" hidden="1" outlineLevel="2" x14ac:dyDescent="0.25">
      <c r="A93" s="29"/>
      <c r="B93" s="11" t="str">
        <f>CONCATENATE("          ", "6254", " - ", "ROYALTY &amp; COMMISSIONS")</f>
        <v xml:space="preserve">          6254 - ROYALTY &amp; COMMISSIONS</v>
      </c>
      <c r="C93" s="11"/>
      <c r="D93" s="7"/>
      <c r="E93" s="2"/>
      <c r="F93" s="6">
        <f t="shared" si="52"/>
        <v>0</v>
      </c>
      <c r="G93" s="2"/>
      <c r="H93" s="7">
        <v>0</v>
      </c>
      <c r="I93" s="2"/>
      <c r="J93" s="6">
        <f t="shared" si="53"/>
        <v>0</v>
      </c>
      <c r="K93" s="2"/>
      <c r="L93" s="7">
        <f t="shared" si="54"/>
        <v>0</v>
      </c>
      <c r="M93" s="2"/>
      <c r="N93" s="6">
        <f t="shared" si="55"/>
        <v>0</v>
      </c>
      <c r="O93" s="11"/>
      <c r="P93" s="7">
        <v>-7027.5</v>
      </c>
      <c r="Q93" s="2"/>
      <c r="R93" s="6">
        <f t="shared" si="56"/>
        <v>-7.8570881366388044E-3</v>
      </c>
      <c r="S93" s="2"/>
      <c r="T93" s="7">
        <v>0</v>
      </c>
      <c r="U93" s="2"/>
      <c r="V93" s="6">
        <f t="shared" si="57"/>
        <v>0</v>
      </c>
      <c r="W93" s="2"/>
      <c r="X93" s="7">
        <f t="shared" si="58"/>
        <v>-7027.5</v>
      </c>
      <c r="Y93" s="2"/>
      <c r="Z93" s="6">
        <f t="shared" si="59"/>
        <v>0</v>
      </c>
    </row>
    <row r="94" spans="1:26" s="28" customFormat="1" outlineLevel="1" collapsed="1" x14ac:dyDescent="0.25">
      <c r="A94" s="27"/>
      <c r="B94" s="14" t="str">
        <f>CONCATENATE("     ","Services                                          ")</f>
        <v xml:space="preserve">     Services                                          </v>
      </c>
      <c r="C94" s="14"/>
      <c r="D94" s="1">
        <f>SUM(OSRRefD22_15x_0)</f>
        <v>162.72</v>
      </c>
      <c r="E94" s="1"/>
      <c r="F94" s="5">
        <f t="shared" ref="F94:F96" si="60">IF(D$12=0,0,D94/D$12)</f>
        <v>5.2848615737818903E-4</v>
      </c>
      <c r="G94" s="1"/>
      <c r="H94" s="1">
        <f>SUM(OSRRefH22_15x_0)</f>
        <v>120</v>
      </c>
      <c r="I94" s="1"/>
      <c r="J94" s="5">
        <f t="shared" ref="J94:J96" si="61">IF(H$12=0,0,H94/H$12)</f>
        <v>4.8699322267765108E-4</v>
      </c>
      <c r="K94" s="1"/>
      <c r="L94" s="1">
        <f t="shared" ref="L94:L96" si="62">+D94-H94</f>
        <v>42.72</v>
      </c>
      <c r="M94" s="1"/>
      <c r="N94" s="5">
        <f t="shared" ref="N94:N96" si="63">IF(H94=0,0,L94/H94)</f>
        <v>0.35599999999999998</v>
      </c>
      <c r="O94" s="14"/>
      <c r="P94" s="1">
        <f>SUM(OSRRefP22_15x_0)</f>
        <v>481.03000000000003</v>
      </c>
      <c r="Q94" s="1"/>
      <c r="R94" s="5">
        <f t="shared" ref="R94:R96" si="64">IF(P$12=0,0,P94/P$12)</f>
        <v>5.3781502758696036E-4</v>
      </c>
      <c r="S94" s="1"/>
      <c r="T94" s="1">
        <f>SUM(OSRRefT22_15x_0)</f>
        <v>240</v>
      </c>
      <c r="U94" s="1"/>
      <c r="V94" s="5">
        <f t="shared" ref="V94:V96" si="65">IF(T$12=0,0,T94/T$12)</f>
        <v>2.5729594823205521E-4</v>
      </c>
      <c r="W94" s="1"/>
      <c r="X94" s="1">
        <f t="shared" ref="X94:X96" si="66">+P94-T94</f>
        <v>241.03000000000003</v>
      </c>
      <c r="Y94" s="1"/>
      <c r="Z94" s="5">
        <f t="shared" ref="Z94:Z96" si="67">IF(T94=0,0,X94/T94)</f>
        <v>1.0042916666666668</v>
      </c>
    </row>
    <row r="95" spans="1:26" s="24" customFormat="1" hidden="1" outlineLevel="2" x14ac:dyDescent="0.25">
      <c r="A95" s="29"/>
      <c r="B95" s="11" t="str">
        <f>CONCATENATE("          ", "6284", " - ", "TRASH REMOVAL EXPENSE")</f>
        <v xml:space="preserve">          6284 - TRASH REMOVAL EXPENSE</v>
      </c>
      <c r="C95" s="11"/>
      <c r="D95" s="7">
        <v>149.69999999999999</v>
      </c>
      <c r="E95" s="2"/>
      <c r="F95" s="6">
        <f t="shared" si="60"/>
        <v>4.8619947000685157E-4</v>
      </c>
      <c r="G95" s="2"/>
      <c r="H95" s="7">
        <v>120</v>
      </c>
      <c r="I95" s="2"/>
      <c r="J95" s="6">
        <f t="shared" si="61"/>
        <v>4.8699322267765108E-4</v>
      </c>
      <c r="K95" s="2"/>
      <c r="L95" s="7">
        <f t="shared" si="62"/>
        <v>29.699999999999989</v>
      </c>
      <c r="M95" s="2"/>
      <c r="N95" s="6">
        <f t="shared" si="63"/>
        <v>0.24749999999999991</v>
      </c>
      <c r="O95" s="11"/>
      <c r="P95" s="7">
        <v>441.97</v>
      </c>
      <c r="Q95" s="2"/>
      <c r="R95" s="6">
        <f t="shared" si="64"/>
        <v>4.9414404037712587E-4</v>
      </c>
      <c r="S95" s="2"/>
      <c r="T95" s="7">
        <v>240</v>
      </c>
      <c r="U95" s="2"/>
      <c r="V95" s="6">
        <f t="shared" si="65"/>
        <v>2.5729594823205521E-4</v>
      </c>
      <c r="W95" s="2"/>
      <c r="X95" s="7">
        <f t="shared" si="66"/>
        <v>201.97000000000003</v>
      </c>
      <c r="Y95" s="2"/>
      <c r="Z95" s="6">
        <f t="shared" si="67"/>
        <v>0.84154166666666674</v>
      </c>
    </row>
    <row r="96" spans="1:26" s="24" customFormat="1" hidden="1" outlineLevel="2" x14ac:dyDescent="0.25">
      <c r="A96" s="29"/>
      <c r="B96" s="11" t="str">
        <f>CONCATENATE("          ", "6285", " - ", "JANITORIAL SERVICES")</f>
        <v xml:space="preserve">          6285 - JANITORIAL SERVICES</v>
      </c>
      <c r="C96" s="11"/>
      <c r="D96" s="7">
        <v>13.02</v>
      </c>
      <c r="E96" s="2"/>
      <c r="F96" s="6">
        <f t="shared" si="60"/>
        <v>4.2286687371337395E-5</v>
      </c>
      <c r="G96" s="2"/>
      <c r="H96" s="7"/>
      <c r="I96" s="2"/>
      <c r="J96" s="6">
        <f t="shared" si="61"/>
        <v>0</v>
      </c>
      <c r="K96" s="2"/>
      <c r="L96" s="7">
        <f t="shared" si="62"/>
        <v>13.02</v>
      </c>
      <c r="M96" s="2"/>
      <c r="N96" s="6">
        <f t="shared" si="63"/>
        <v>0</v>
      </c>
      <c r="O96" s="11"/>
      <c r="P96" s="7">
        <v>39.06</v>
      </c>
      <c r="Q96" s="2"/>
      <c r="R96" s="6">
        <f t="shared" si="64"/>
        <v>4.3670987209834463E-5</v>
      </c>
      <c r="S96" s="2"/>
      <c r="T96" s="7"/>
      <c r="U96" s="2"/>
      <c r="V96" s="6">
        <f t="shared" si="65"/>
        <v>0</v>
      </c>
      <c r="W96" s="2"/>
      <c r="X96" s="7">
        <f t="shared" si="66"/>
        <v>39.06</v>
      </c>
      <c r="Y96" s="2"/>
      <c r="Z96" s="6">
        <f t="shared" si="67"/>
        <v>0</v>
      </c>
    </row>
    <row r="97" spans="1:26" s="28" customFormat="1" outlineLevel="1" collapsed="1" x14ac:dyDescent="0.25">
      <c r="A97" s="27"/>
      <c r="B97" s="14" t="str">
        <f>CONCATENATE("     ","Subscriptions &amp; Dues                              ")</f>
        <v xml:space="preserve">     Subscriptions &amp; Dues                              </v>
      </c>
      <c r="C97" s="14"/>
      <c r="D97" s="1">
        <f>SUM(OSRRefD22_16x_0)</f>
        <v>0</v>
      </c>
      <c r="E97" s="1"/>
      <c r="F97" s="5">
        <f t="shared" ref="F97:F99" si="68">IF(D$12=0,0,D97/D$12)</f>
        <v>0</v>
      </c>
      <c r="G97" s="1"/>
      <c r="H97" s="1">
        <f>SUM(OSRRefH22_16x_0)</f>
        <v>81</v>
      </c>
      <c r="I97" s="1"/>
      <c r="J97" s="5">
        <f t="shared" ref="J97:J99" si="69">IF(H$12=0,0,H97/H$12)</f>
        <v>3.2872042530741446E-4</v>
      </c>
      <c r="K97" s="1"/>
      <c r="L97" s="1">
        <f t="shared" ref="L97:L99" si="70">+D97-H97</f>
        <v>-81</v>
      </c>
      <c r="M97" s="1"/>
      <c r="N97" s="5">
        <f t="shared" ref="N97:N99" si="71">IF(H97=0,0,L97/H97)</f>
        <v>-1</v>
      </c>
      <c r="O97" s="14"/>
      <c r="P97" s="1">
        <f>SUM(OSRRefP22_16x_0)</f>
        <v>0</v>
      </c>
      <c r="Q97" s="1"/>
      <c r="R97" s="5">
        <f t="shared" ref="R97:R99" si="72">IF(P$12=0,0,P97/P$12)</f>
        <v>0</v>
      </c>
      <c r="S97" s="1"/>
      <c r="T97" s="1">
        <f>SUM(OSRRefT22_16x_0)</f>
        <v>1618</v>
      </c>
      <c r="U97" s="1"/>
      <c r="V97" s="5">
        <f t="shared" ref="V97:V99" si="73">IF(T$12=0,0,T97/T$12)</f>
        <v>1.734603517664439E-3</v>
      </c>
      <c r="W97" s="1"/>
      <c r="X97" s="1">
        <f t="shared" ref="X97:X99" si="74">+P97-T97</f>
        <v>-1618</v>
      </c>
      <c r="Y97" s="1"/>
      <c r="Z97" s="5">
        <f t="shared" ref="Z97:Z99" si="75">IF(T97=0,0,X97/T97)</f>
        <v>-1</v>
      </c>
    </row>
    <row r="98" spans="1:26" s="24" customFormat="1" hidden="1" outlineLevel="2" x14ac:dyDescent="0.25">
      <c r="A98" s="29"/>
      <c r="B98" s="11" t="str">
        <f>CONCATENATE("          ", "6258", " - ", "MEMBERSHIP DUES")</f>
        <v xml:space="preserve">          6258 - MEMBERSHIP DUES</v>
      </c>
      <c r="C98" s="11"/>
      <c r="D98" s="7"/>
      <c r="E98" s="2"/>
      <c r="F98" s="6">
        <f t="shared" si="68"/>
        <v>0</v>
      </c>
      <c r="G98" s="2"/>
      <c r="H98" s="7">
        <v>0</v>
      </c>
      <c r="I98" s="2"/>
      <c r="J98" s="6">
        <f t="shared" si="69"/>
        <v>0</v>
      </c>
      <c r="K98" s="2"/>
      <c r="L98" s="7">
        <f t="shared" si="70"/>
        <v>0</v>
      </c>
      <c r="M98" s="2"/>
      <c r="N98" s="6">
        <f t="shared" si="71"/>
        <v>0</v>
      </c>
      <c r="O98" s="11"/>
      <c r="P98" s="7"/>
      <c r="Q98" s="2"/>
      <c r="R98" s="6">
        <f t="shared" si="72"/>
        <v>0</v>
      </c>
      <c r="S98" s="2"/>
      <c r="T98" s="7">
        <v>1395</v>
      </c>
      <c r="U98" s="2"/>
      <c r="V98" s="6">
        <f t="shared" si="73"/>
        <v>1.4955326990988209E-3</v>
      </c>
      <c r="W98" s="2"/>
      <c r="X98" s="7">
        <f t="shared" si="74"/>
        <v>-1395</v>
      </c>
      <c r="Y98" s="2"/>
      <c r="Z98" s="6">
        <f t="shared" si="75"/>
        <v>-1</v>
      </c>
    </row>
    <row r="99" spans="1:26" s="24" customFormat="1" hidden="1" outlineLevel="2" x14ac:dyDescent="0.25">
      <c r="A99" s="29"/>
      <c r="B99" s="11" t="str">
        <f>CONCATENATE("          ", "6275", " - ", "SUBSCRIPTIONS")</f>
        <v xml:space="preserve">          6275 - SUBSCRIPTIONS</v>
      </c>
      <c r="C99" s="11"/>
      <c r="D99" s="7"/>
      <c r="E99" s="2"/>
      <c r="F99" s="6">
        <f t="shared" si="68"/>
        <v>0</v>
      </c>
      <c r="G99" s="2"/>
      <c r="H99" s="7">
        <v>81</v>
      </c>
      <c r="I99" s="2"/>
      <c r="J99" s="6">
        <f t="shared" si="69"/>
        <v>3.2872042530741446E-4</v>
      </c>
      <c r="K99" s="2"/>
      <c r="L99" s="7">
        <f t="shared" si="70"/>
        <v>-81</v>
      </c>
      <c r="M99" s="2"/>
      <c r="N99" s="6">
        <f t="shared" si="71"/>
        <v>-1</v>
      </c>
      <c r="O99" s="11"/>
      <c r="P99" s="7"/>
      <c r="Q99" s="2"/>
      <c r="R99" s="6">
        <f t="shared" si="72"/>
        <v>0</v>
      </c>
      <c r="S99" s="2"/>
      <c r="T99" s="7">
        <v>223</v>
      </c>
      <c r="U99" s="2"/>
      <c r="V99" s="6">
        <f t="shared" si="73"/>
        <v>2.3907081856561798E-4</v>
      </c>
      <c r="W99" s="2"/>
      <c r="X99" s="7">
        <f t="shared" si="74"/>
        <v>-223</v>
      </c>
      <c r="Y99" s="2"/>
      <c r="Z99" s="6">
        <f t="shared" si="75"/>
        <v>-1</v>
      </c>
    </row>
    <row r="100" spans="1:26" s="28" customFormat="1" outlineLevel="1" collapsed="1" x14ac:dyDescent="0.25">
      <c r="A100" s="27"/>
      <c r="B100" s="14" t="str">
        <f>CONCATENATE("     ","Supplies                                          ")</f>
        <v xml:space="preserve">     Supplies                                          </v>
      </c>
      <c r="C100" s="14"/>
      <c r="D100" s="1">
        <f>SUM(OSRRefD22_17x_0)</f>
        <v>324.99</v>
      </c>
      <c r="E100" s="1"/>
      <c r="F100" s="5">
        <f t="shared" ref="F100:F104" si="76">IF(D$12=0,0,D100/D$12)</f>
        <v>1.0555107933034515E-3</v>
      </c>
      <c r="G100" s="1"/>
      <c r="H100" s="1">
        <f>SUM(OSRRefH22_17x_0)</f>
        <v>105</v>
      </c>
      <c r="I100" s="1"/>
      <c r="J100" s="5">
        <f t="shared" ref="J100:J104" si="77">IF(H$12=0,0,H100/H$12)</f>
        <v>4.2611906984294466E-4</v>
      </c>
      <c r="K100" s="1"/>
      <c r="L100" s="1">
        <f t="shared" ref="L100:L104" si="78">+D100-H100</f>
        <v>219.99</v>
      </c>
      <c r="M100" s="1"/>
      <c r="N100" s="5">
        <f t="shared" ref="N100:N104" si="79">IF(H100=0,0,L100/H100)</f>
        <v>2.0951428571428572</v>
      </c>
      <c r="O100" s="14"/>
      <c r="P100" s="1">
        <f>SUM(OSRRefP22_17x_0)</f>
        <v>6244.28</v>
      </c>
      <c r="Q100" s="1"/>
      <c r="R100" s="5">
        <f t="shared" ref="R100:R104" si="80">IF(P$12=0,0,P100/P$12)</f>
        <v>6.9814099338101673E-3</v>
      </c>
      <c r="S100" s="1"/>
      <c r="T100" s="1">
        <f>SUM(OSRRefT22_17x_0)</f>
        <v>355</v>
      </c>
      <c r="U100" s="1"/>
      <c r="V100" s="5">
        <f t="shared" ref="V100:V104" si="81">IF(T$12=0,0,T100/T$12)</f>
        <v>3.8058359009324834E-4</v>
      </c>
      <c r="W100" s="1"/>
      <c r="X100" s="1">
        <f t="shared" ref="X100:X104" si="82">+P100-T100</f>
        <v>5889.28</v>
      </c>
      <c r="Y100" s="1"/>
      <c r="Z100" s="5">
        <f t="shared" ref="Z100:Z104" si="83">IF(T100=0,0,X100/T100)</f>
        <v>16.589521126760562</v>
      </c>
    </row>
    <row r="101" spans="1:26" s="24" customFormat="1" hidden="1" outlineLevel="2" x14ac:dyDescent="0.25">
      <c r="A101" s="29"/>
      <c r="B101" s="11" t="str">
        <f>CONCATENATE("          ", "6235", " - ", "COVID-19 EXPENSES")</f>
        <v xml:space="preserve">          6235 - COVID-19 EXPENSES</v>
      </c>
      <c r="C101" s="11"/>
      <c r="D101" s="7"/>
      <c r="E101" s="2"/>
      <c r="F101" s="6">
        <f t="shared" si="76"/>
        <v>0</v>
      </c>
      <c r="G101" s="2"/>
      <c r="H101" s="7">
        <v>0</v>
      </c>
      <c r="I101" s="2"/>
      <c r="J101" s="6">
        <f t="shared" si="77"/>
        <v>0</v>
      </c>
      <c r="K101" s="2"/>
      <c r="L101" s="7">
        <f t="shared" si="78"/>
        <v>0</v>
      </c>
      <c r="M101" s="2"/>
      <c r="N101" s="6">
        <f t="shared" si="79"/>
        <v>0</v>
      </c>
      <c r="O101" s="11"/>
      <c r="P101" s="7"/>
      <c r="Q101" s="2"/>
      <c r="R101" s="6">
        <f t="shared" si="80"/>
        <v>0</v>
      </c>
      <c r="S101" s="2"/>
      <c r="T101" s="7">
        <v>0</v>
      </c>
      <c r="U101" s="2"/>
      <c r="V101" s="6">
        <f t="shared" si="81"/>
        <v>0</v>
      </c>
      <c r="W101" s="2"/>
      <c r="X101" s="7">
        <f t="shared" si="82"/>
        <v>0</v>
      </c>
      <c r="Y101" s="2"/>
      <c r="Z101" s="6">
        <f t="shared" si="83"/>
        <v>0</v>
      </c>
    </row>
    <row r="102" spans="1:26" s="24" customFormat="1" hidden="1" outlineLevel="2" x14ac:dyDescent="0.25">
      <c r="A102" s="29"/>
      <c r="B102" s="11" t="str">
        <f>CONCATENATE("          ", "6237", " - ", "JANITORIAL SUPPLIES")</f>
        <v xml:space="preserve">          6237 - JANITORIAL SUPPLIES</v>
      </c>
      <c r="C102" s="11"/>
      <c r="D102" s="7"/>
      <c r="E102" s="2"/>
      <c r="F102" s="6">
        <f t="shared" si="76"/>
        <v>0</v>
      </c>
      <c r="G102" s="2"/>
      <c r="H102" s="7">
        <v>10</v>
      </c>
      <c r="I102" s="2"/>
      <c r="J102" s="6">
        <f t="shared" si="77"/>
        <v>4.0582768556470925E-5</v>
      </c>
      <c r="K102" s="2"/>
      <c r="L102" s="7">
        <f t="shared" si="78"/>
        <v>-10</v>
      </c>
      <c r="M102" s="2"/>
      <c r="N102" s="6">
        <f t="shared" si="79"/>
        <v>-1</v>
      </c>
      <c r="O102" s="11"/>
      <c r="P102" s="7">
        <v>77.17</v>
      </c>
      <c r="Q102" s="2"/>
      <c r="R102" s="6">
        <f t="shared" si="80"/>
        <v>8.6279828033357028E-5</v>
      </c>
      <c r="S102" s="2"/>
      <c r="T102" s="7">
        <v>70</v>
      </c>
      <c r="U102" s="2"/>
      <c r="V102" s="6">
        <f t="shared" si="81"/>
        <v>7.5044651567682765E-5</v>
      </c>
      <c r="W102" s="2"/>
      <c r="X102" s="7">
        <f t="shared" si="82"/>
        <v>7.1700000000000017</v>
      </c>
      <c r="Y102" s="2"/>
      <c r="Z102" s="6">
        <f t="shared" si="83"/>
        <v>0.10242857142857145</v>
      </c>
    </row>
    <row r="103" spans="1:26" s="24" customFormat="1" hidden="1" outlineLevel="2" x14ac:dyDescent="0.25">
      <c r="A103" s="29"/>
      <c r="B103" s="11" t="str">
        <f>CONCATENATE("          ", "6241", " - ", "OFFICE EXPENSE")</f>
        <v xml:space="preserve">          6241 - OFFICE EXPENSE</v>
      </c>
      <c r="C103" s="11"/>
      <c r="D103" s="7">
        <v>267.68</v>
      </c>
      <c r="E103" s="2"/>
      <c r="F103" s="6">
        <f t="shared" si="76"/>
        <v>8.6937791670964619E-4</v>
      </c>
      <c r="G103" s="2"/>
      <c r="H103" s="7">
        <v>45</v>
      </c>
      <c r="I103" s="2"/>
      <c r="J103" s="6">
        <f t="shared" si="77"/>
        <v>1.8262245850411915E-4</v>
      </c>
      <c r="K103" s="2"/>
      <c r="L103" s="7">
        <f t="shared" si="78"/>
        <v>222.68</v>
      </c>
      <c r="M103" s="2"/>
      <c r="N103" s="6">
        <f t="shared" si="79"/>
        <v>4.9484444444444442</v>
      </c>
      <c r="O103" s="11"/>
      <c r="P103" s="7">
        <v>493.73</v>
      </c>
      <c r="Q103" s="2"/>
      <c r="R103" s="6">
        <f t="shared" si="80"/>
        <v>5.5201424769870885E-4</v>
      </c>
      <c r="S103" s="2"/>
      <c r="T103" s="7">
        <v>135</v>
      </c>
      <c r="U103" s="2"/>
      <c r="V103" s="6">
        <f t="shared" si="81"/>
        <v>1.4472897088053105E-4</v>
      </c>
      <c r="W103" s="2"/>
      <c r="X103" s="7">
        <f t="shared" si="82"/>
        <v>358.73</v>
      </c>
      <c r="Y103" s="2"/>
      <c r="Z103" s="6">
        <f t="shared" si="83"/>
        <v>2.6572592592592592</v>
      </c>
    </row>
    <row r="104" spans="1:26" s="24" customFormat="1" hidden="1" outlineLevel="2" x14ac:dyDescent="0.25">
      <c r="A104" s="29"/>
      <c r="B104" s="11" t="str">
        <f>CONCATENATE("          ", "6247", " - ", "STORE SUPPLIES")</f>
        <v xml:space="preserve">          6247 - STORE SUPPLIES</v>
      </c>
      <c r="C104" s="11"/>
      <c r="D104" s="7">
        <v>57.31</v>
      </c>
      <c r="E104" s="2"/>
      <c r="F104" s="6">
        <f t="shared" si="76"/>
        <v>1.861328765938054E-4</v>
      </c>
      <c r="G104" s="2"/>
      <c r="H104" s="7">
        <v>50</v>
      </c>
      <c r="I104" s="2"/>
      <c r="J104" s="6">
        <f t="shared" si="77"/>
        <v>2.0291384278235461E-4</v>
      </c>
      <c r="K104" s="2"/>
      <c r="L104" s="7">
        <f t="shared" si="78"/>
        <v>7.3100000000000023</v>
      </c>
      <c r="M104" s="2"/>
      <c r="N104" s="6">
        <f t="shared" si="79"/>
        <v>0.14620000000000005</v>
      </c>
      <c r="O104" s="11"/>
      <c r="P104" s="7">
        <v>5673.38</v>
      </c>
      <c r="Q104" s="2"/>
      <c r="R104" s="6">
        <f t="shared" si="80"/>
        <v>6.3431158580781015E-3</v>
      </c>
      <c r="S104" s="2"/>
      <c r="T104" s="7">
        <v>150</v>
      </c>
      <c r="U104" s="2"/>
      <c r="V104" s="6">
        <f t="shared" si="81"/>
        <v>1.6080996764503451E-4</v>
      </c>
      <c r="W104" s="2"/>
      <c r="X104" s="7">
        <f t="shared" si="82"/>
        <v>5523.38</v>
      </c>
      <c r="Y104" s="2"/>
      <c r="Z104" s="6">
        <f t="shared" si="83"/>
        <v>36.822533333333332</v>
      </c>
    </row>
    <row r="105" spans="1:26" s="28" customFormat="1" outlineLevel="1" collapsed="1" x14ac:dyDescent="0.25">
      <c r="A105" s="27"/>
      <c r="B105" s="14" t="str">
        <f>CONCATENATE("     ","Telephone/Data Lines                              ")</f>
        <v xml:space="preserve">     Telephone/Data Lines                              </v>
      </c>
      <c r="C105" s="14"/>
      <c r="D105" s="1">
        <f>SUM(OSRRefD22_18x_0)</f>
        <v>304.49</v>
      </c>
      <c r="E105" s="1"/>
      <c r="F105" s="5">
        <f t="shared" ref="F105:F109" si="84">IF(D$12=0,0,D105/D$12)</f>
        <v>9.8893037155902645E-4</v>
      </c>
      <c r="G105" s="1"/>
      <c r="H105" s="1">
        <f>SUM(OSRRefH22_18x_0)</f>
        <v>550</v>
      </c>
      <c r="I105" s="1"/>
      <c r="J105" s="5">
        <f t="shared" ref="J105:J109" si="85">IF(H$12=0,0,H105/H$12)</f>
        <v>2.2320522706059005E-3</v>
      </c>
      <c r="K105" s="1"/>
      <c r="L105" s="1">
        <f t="shared" ref="L105:L109" si="86">+D105-H105</f>
        <v>-245.51</v>
      </c>
      <c r="M105" s="1"/>
      <c r="N105" s="5">
        <f t="shared" ref="N105:N109" si="87">IF(H105=0,0,L105/H105)</f>
        <v>-0.44638181818181816</v>
      </c>
      <c r="O105" s="14"/>
      <c r="P105" s="1">
        <f>SUM(OSRRefP22_18x_0)</f>
        <v>1123.67</v>
      </c>
      <c r="Q105" s="1"/>
      <c r="R105" s="5">
        <f t="shared" ref="R105:R109" si="88">IF(P$12=0,0,P105/P$12)</f>
        <v>1.2563179262179902E-3</v>
      </c>
      <c r="S105" s="1"/>
      <c r="T105" s="1">
        <f>SUM(OSRRefT22_18x_0)</f>
        <v>1650</v>
      </c>
      <c r="U105" s="1"/>
      <c r="V105" s="5">
        <f t="shared" ref="V105:V109" si="89">IF(T$12=0,0,T105/T$12)</f>
        <v>1.7689096440953796E-3</v>
      </c>
      <c r="W105" s="1"/>
      <c r="X105" s="1">
        <f t="shared" ref="X105:X109" si="90">+P105-T105</f>
        <v>-526.32999999999993</v>
      </c>
      <c r="Y105" s="1"/>
      <c r="Z105" s="5">
        <f t="shared" ref="Z105:Z109" si="91">IF(T105=0,0,X105/T105)</f>
        <v>-0.31898787878787876</v>
      </c>
    </row>
    <row r="106" spans="1:26" s="24" customFormat="1" hidden="1" outlineLevel="2" x14ac:dyDescent="0.25">
      <c r="A106" s="29"/>
      <c r="B106" s="11" t="str">
        <f>CONCATENATE("          ", "6309", " - ", "TELEPHONE")</f>
        <v xml:space="preserve">          6309 - TELEPHONE</v>
      </c>
      <c r="C106" s="11"/>
      <c r="D106" s="7">
        <v>304.49</v>
      </c>
      <c r="E106" s="2"/>
      <c r="F106" s="6">
        <f t="shared" si="84"/>
        <v>9.8893037155902645E-4</v>
      </c>
      <c r="G106" s="2"/>
      <c r="H106" s="7">
        <v>550</v>
      </c>
      <c r="I106" s="2"/>
      <c r="J106" s="6">
        <f t="shared" si="85"/>
        <v>2.2320522706059005E-3</v>
      </c>
      <c r="K106" s="2"/>
      <c r="L106" s="7">
        <f t="shared" si="86"/>
        <v>-245.51</v>
      </c>
      <c r="M106" s="2"/>
      <c r="N106" s="6">
        <f t="shared" si="87"/>
        <v>-0.44638181818181816</v>
      </c>
      <c r="O106" s="11"/>
      <c r="P106" s="7">
        <v>1123.67</v>
      </c>
      <c r="Q106" s="2"/>
      <c r="R106" s="6">
        <f t="shared" si="88"/>
        <v>1.2563179262179902E-3</v>
      </c>
      <c r="S106" s="2"/>
      <c r="T106" s="7">
        <v>1650</v>
      </c>
      <c r="U106" s="2"/>
      <c r="V106" s="6">
        <f t="shared" si="89"/>
        <v>1.7689096440953796E-3</v>
      </c>
      <c r="W106" s="2"/>
      <c r="X106" s="7">
        <f t="shared" si="90"/>
        <v>-526.32999999999993</v>
      </c>
      <c r="Y106" s="2"/>
      <c r="Z106" s="6">
        <f t="shared" si="91"/>
        <v>-0.31898787878787876</v>
      </c>
    </row>
    <row r="107" spans="1:26" s="28" customFormat="1" outlineLevel="1" collapsed="1" x14ac:dyDescent="0.25">
      <c r="A107" s="27"/>
      <c r="B107" s="14" t="str">
        <f>CONCATENATE("     ","Travel                                            ")</f>
        <v xml:space="preserve">     Travel                                            </v>
      </c>
      <c r="C107" s="14"/>
      <c r="D107" s="1">
        <f>SUM(OSRRefD22_19x_0)</f>
        <v>27.39</v>
      </c>
      <c r="E107" s="1"/>
      <c r="F107" s="5">
        <f t="shared" si="84"/>
        <v>8.8957939101454012E-5</v>
      </c>
      <c r="G107" s="1"/>
      <c r="H107" s="1">
        <f>SUM(OSRRefH22_19x_0)</f>
        <v>50</v>
      </c>
      <c r="I107" s="1"/>
      <c r="J107" s="5">
        <f t="shared" si="85"/>
        <v>2.0291384278235461E-4</v>
      </c>
      <c r="K107" s="1"/>
      <c r="L107" s="1">
        <f t="shared" si="86"/>
        <v>-22.61</v>
      </c>
      <c r="M107" s="1"/>
      <c r="N107" s="5">
        <f t="shared" si="87"/>
        <v>-0.45219999999999999</v>
      </c>
      <c r="O107" s="14"/>
      <c r="P107" s="1">
        <f>SUM(OSRRefP22_19x_0)</f>
        <v>215.53</v>
      </c>
      <c r="Q107" s="1"/>
      <c r="R107" s="5">
        <f t="shared" si="88"/>
        <v>2.4097306383347725E-4</v>
      </c>
      <c r="S107" s="1"/>
      <c r="T107" s="1">
        <f>SUM(OSRRefT22_19x_0)</f>
        <v>150</v>
      </c>
      <c r="U107" s="1"/>
      <c r="V107" s="5">
        <f t="shared" si="89"/>
        <v>1.6080996764503451E-4</v>
      </c>
      <c r="W107" s="1"/>
      <c r="X107" s="1">
        <f t="shared" si="90"/>
        <v>65.53</v>
      </c>
      <c r="Y107" s="1"/>
      <c r="Z107" s="5">
        <f t="shared" si="91"/>
        <v>0.43686666666666668</v>
      </c>
    </row>
    <row r="108" spans="1:26" s="24" customFormat="1" hidden="1" outlineLevel="2" x14ac:dyDescent="0.25">
      <c r="A108" s="29"/>
      <c r="B108" s="11" t="str">
        <f>CONCATENATE("          ", "6294", " - ", "TRAVEL OPERATIONAL")</f>
        <v xml:space="preserve">          6294 - TRAVEL OPERATIONAL</v>
      </c>
      <c r="C108" s="11"/>
      <c r="D108" s="7">
        <v>27.39</v>
      </c>
      <c r="E108" s="2"/>
      <c r="F108" s="6">
        <f t="shared" si="84"/>
        <v>8.8957939101454012E-5</v>
      </c>
      <c r="G108" s="2"/>
      <c r="H108" s="7">
        <v>25</v>
      </c>
      <c r="I108" s="2"/>
      <c r="J108" s="6">
        <f t="shared" si="85"/>
        <v>1.014569213911773E-4</v>
      </c>
      <c r="K108" s="2"/>
      <c r="L108" s="7">
        <f t="shared" si="86"/>
        <v>2.3900000000000006</v>
      </c>
      <c r="M108" s="2"/>
      <c r="N108" s="6">
        <f t="shared" si="87"/>
        <v>9.5600000000000018E-2</v>
      </c>
      <c r="O108" s="11"/>
      <c r="P108" s="7">
        <v>215.53</v>
      </c>
      <c r="Q108" s="2"/>
      <c r="R108" s="6">
        <f t="shared" si="88"/>
        <v>2.4097306383347725E-4</v>
      </c>
      <c r="S108" s="2"/>
      <c r="T108" s="7">
        <v>75</v>
      </c>
      <c r="U108" s="2"/>
      <c r="V108" s="6">
        <f t="shared" si="89"/>
        <v>8.0404983822517253E-5</v>
      </c>
      <c r="W108" s="2"/>
      <c r="X108" s="7">
        <f t="shared" si="90"/>
        <v>140.53</v>
      </c>
      <c r="Y108" s="2"/>
      <c r="Z108" s="6">
        <f t="shared" si="91"/>
        <v>1.8737333333333333</v>
      </c>
    </row>
    <row r="109" spans="1:26" s="24" customFormat="1" hidden="1" outlineLevel="2" x14ac:dyDescent="0.25">
      <c r="A109" s="29"/>
      <c r="B109" s="11" t="str">
        <f>CONCATENATE("          ", "6298", " - ", "VEHICLE MILEAGE")</f>
        <v xml:space="preserve">          6298 - VEHICLE MILEAGE</v>
      </c>
      <c r="C109" s="11"/>
      <c r="D109" s="7"/>
      <c r="E109" s="2"/>
      <c r="F109" s="6">
        <f t="shared" si="84"/>
        <v>0</v>
      </c>
      <c r="G109" s="2"/>
      <c r="H109" s="7">
        <v>25</v>
      </c>
      <c r="I109" s="2"/>
      <c r="J109" s="6">
        <f t="shared" si="85"/>
        <v>1.014569213911773E-4</v>
      </c>
      <c r="K109" s="2"/>
      <c r="L109" s="7">
        <f t="shared" si="86"/>
        <v>-25</v>
      </c>
      <c r="M109" s="2"/>
      <c r="N109" s="6">
        <f t="shared" si="87"/>
        <v>-1</v>
      </c>
      <c r="O109" s="11"/>
      <c r="P109" s="7"/>
      <c r="Q109" s="2"/>
      <c r="R109" s="6">
        <f t="shared" si="88"/>
        <v>0</v>
      </c>
      <c r="S109" s="2"/>
      <c r="T109" s="7">
        <v>75</v>
      </c>
      <c r="U109" s="2"/>
      <c r="V109" s="6">
        <f t="shared" si="89"/>
        <v>8.0404983822517253E-5</v>
      </c>
      <c r="W109" s="2"/>
      <c r="X109" s="7">
        <f t="shared" si="90"/>
        <v>-75</v>
      </c>
      <c r="Y109" s="2"/>
      <c r="Z109" s="6">
        <f t="shared" si="91"/>
        <v>-1</v>
      </c>
    </row>
    <row r="110" spans="1:26" s="28" customFormat="1" outlineLevel="1" collapsed="1" x14ac:dyDescent="0.25">
      <c r="A110" s="27"/>
      <c r="B110" s="14" t="str">
        <f>CONCATENATE("     ","Utilities                                         ")</f>
        <v xml:space="preserve">     Utilities                                         </v>
      </c>
      <c r="C110" s="14"/>
      <c r="D110" s="1">
        <f>SUM(OSRRefD22_20x_0)</f>
        <v>37.6</v>
      </c>
      <c r="E110" s="1"/>
      <c r="F110" s="5">
        <f t="shared" ref="F110:F111" si="92">IF(D$12=0,0,D110/D$12)</f>
        <v>1.2211823695562873E-4</v>
      </c>
      <c r="G110" s="1"/>
      <c r="H110" s="1">
        <f>SUM(OSRRefH22_20x_0)</f>
        <v>120</v>
      </c>
      <c r="I110" s="1"/>
      <c r="J110" s="5">
        <f t="shared" ref="J110:J111" si="93">IF(H$12=0,0,H110/H$12)</f>
        <v>4.8699322267765108E-4</v>
      </c>
      <c r="K110" s="1"/>
      <c r="L110" s="1">
        <f t="shared" ref="L110:L111" si="94">+D110-H110</f>
        <v>-82.4</v>
      </c>
      <c r="M110" s="1"/>
      <c r="N110" s="5">
        <f t="shared" ref="N110:N111" si="95">IF(H110=0,0,L110/H110)</f>
        <v>-0.68666666666666676</v>
      </c>
      <c r="O110" s="14"/>
      <c r="P110" s="1">
        <f>SUM(OSRRefP22_20x_0)</f>
        <v>111.38</v>
      </c>
      <c r="Q110" s="1"/>
      <c r="R110" s="5">
        <f t="shared" ref="R110:R111" si="96">IF(P$12=0,0,P110/P$12)</f>
        <v>1.2452827842886232E-4</v>
      </c>
      <c r="S110" s="1"/>
      <c r="T110" s="1">
        <f>SUM(OSRRefT22_20x_0)</f>
        <v>360</v>
      </c>
      <c r="U110" s="1"/>
      <c r="V110" s="5">
        <f t="shared" ref="V110:V111" si="97">IF(T$12=0,0,T110/T$12)</f>
        <v>3.8594392234808281E-4</v>
      </c>
      <c r="W110" s="1"/>
      <c r="X110" s="1">
        <f t="shared" ref="X110:X111" si="98">+P110-T110</f>
        <v>-248.62</v>
      </c>
      <c r="Y110" s="1"/>
      <c r="Z110" s="5">
        <f t="shared" ref="Z110:Z111" si="99">IF(T110=0,0,X110/T110)</f>
        <v>-0.69061111111111118</v>
      </c>
    </row>
    <row r="111" spans="1:26" s="24" customFormat="1" hidden="1" outlineLevel="2" x14ac:dyDescent="0.25">
      <c r="A111" s="29"/>
      <c r="B111" s="11" t="str">
        <f>CONCATENATE("          ", "6274", " - ", "UTILITIES")</f>
        <v xml:space="preserve">          6274 - UTILITIES</v>
      </c>
      <c r="C111" s="11"/>
      <c r="D111" s="7">
        <v>37.6</v>
      </c>
      <c r="E111" s="2"/>
      <c r="F111" s="6">
        <f t="shared" si="92"/>
        <v>1.2211823695562873E-4</v>
      </c>
      <c r="G111" s="2"/>
      <c r="H111" s="7">
        <v>120</v>
      </c>
      <c r="I111" s="2"/>
      <c r="J111" s="6">
        <f t="shared" si="93"/>
        <v>4.8699322267765108E-4</v>
      </c>
      <c r="K111" s="2"/>
      <c r="L111" s="7">
        <f t="shared" si="94"/>
        <v>-82.4</v>
      </c>
      <c r="M111" s="2"/>
      <c r="N111" s="6">
        <f t="shared" si="95"/>
        <v>-0.68666666666666676</v>
      </c>
      <c r="O111" s="11"/>
      <c r="P111" s="7">
        <v>111.38</v>
      </c>
      <c r="Q111" s="2"/>
      <c r="R111" s="6">
        <f t="shared" si="96"/>
        <v>1.2452827842886232E-4</v>
      </c>
      <c r="S111" s="2"/>
      <c r="T111" s="7">
        <v>360</v>
      </c>
      <c r="U111" s="2"/>
      <c r="V111" s="6">
        <f t="shared" si="97"/>
        <v>3.8594392234808281E-4</v>
      </c>
      <c r="W111" s="2"/>
      <c r="X111" s="7">
        <f t="shared" si="98"/>
        <v>-248.62</v>
      </c>
      <c r="Y111" s="2"/>
      <c r="Z111" s="6">
        <f t="shared" si="99"/>
        <v>-0.69061111111111118</v>
      </c>
    </row>
    <row r="112" spans="1:26" s="58" customFormat="1" x14ac:dyDescent="0.25">
      <c r="A112" s="36"/>
      <c r="B112" s="36"/>
      <c r="C112" s="36"/>
      <c r="D112" s="1"/>
      <c r="E112" s="1"/>
      <c r="F112" s="5"/>
      <c r="G112" s="1"/>
      <c r="H112" s="1"/>
      <c r="I112" s="1"/>
      <c r="J112" s="5"/>
      <c r="K112" s="1"/>
      <c r="L112" s="1"/>
      <c r="M112" s="1"/>
      <c r="N112" s="5"/>
      <c r="O112" s="36"/>
      <c r="P112" s="1"/>
      <c r="Q112" s="1"/>
      <c r="R112" s="5"/>
      <c r="S112" s="1"/>
      <c r="T112" s="1"/>
      <c r="U112" s="1"/>
      <c r="V112" s="5"/>
      <c r="W112" s="1"/>
      <c r="X112" s="1"/>
      <c r="Y112" s="1"/>
      <c r="Z112" s="5"/>
    </row>
    <row r="113" spans="1:26" s="23" customFormat="1" collapsed="1" x14ac:dyDescent="0.25">
      <c r="A113" s="10"/>
      <c r="B113" s="26" t="s">
        <v>293</v>
      </c>
      <c r="C113" s="10"/>
      <c r="D113" s="4">
        <f>SUM(OSRRefD25x_0)</f>
        <v>-308.7</v>
      </c>
      <c r="E113" s="4"/>
      <c r="F113" s="12">
        <f t="shared" ref="F113:F116" si="100">IF(D$12=0,0,D113/D$12)</f>
        <v>-1.0026037167075155E-3</v>
      </c>
      <c r="G113" s="4"/>
      <c r="H113" s="4">
        <f>SUM(OSRRefH25x_0)</f>
        <v>0</v>
      </c>
      <c r="I113" s="4"/>
      <c r="J113" s="12">
        <f t="shared" ref="J113:J116" si="101">IF(H$12=0,0,H113/H$12)</f>
        <v>0</v>
      </c>
      <c r="K113" s="4"/>
      <c r="L113" s="4">
        <f t="shared" ref="L113:L116" si="102">+D113-H113</f>
        <v>-308.7</v>
      </c>
      <c r="M113" s="4"/>
      <c r="N113" s="12">
        <f t="shared" ref="N113:N116" si="103">IF(H113=0,0,L113/H113)</f>
        <v>0</v>
      </c>
      <c r="O113" s="10"/>
      <c r="P113" s="4">
        <f>SUM(OSRRefP25x_0)</f>
        <v>91764.32</v>
      </c>
      <c r="Q113" s="4"/>
      <c r="R113" s="12">
        <f t="shared" ref="R113:R116" si="104">IF(P$12=0,0,P113/P$12)</f>
        <v>0.10259699040038804</v>
      </c>
      <c r="S113" s="4"/>
      <c r="T113" s="4">
        <f>SUM(OSRRefT25x_0)</f>
        <v>11344</v>
      </c>
      <c r="U113" s="4"/>
      <c r="V113" s="12">
        <f t="shared" ref="V113:V116" si="105">IF(T$12=0,0,T113/T$12)</f>
        <v>1.2161521819768477E-2</v>
      </c>
      <c r="W113" s="4"/>
      <c r="X113" s="4">
        <f t="shared" ref="X113:X116" si="106">+P113-T113</f>
        <v>80420.320000000007</v>
      </c>
      <c r="Y113" s="4"/>
      <c r="Z113" s="12">
        <f t="shared" ref="Z113:Z116" si="107">IF(T113=0,0,X113/T113)</f>
        <v>7.0892383638928074</v>
      </c>
    </row>
    <row r="114" spans="1:26" s="24" customFormat="1" hidden="1" outlineLevel="1" x14ac:dyDescent="0.25">
      <c r="A114" s="44"/>
      <c r="B114" s="11" t="str">
        <f>CONCATENATE("          ", "9150", " - ", "MISC. INCOME")</f>
        <v xml:space="preserve">          9150 - MISC. INCOME</v>
      </c>
      <c r="C114" s="11"/>
      <c r="D114" s="2">
        <f t="shared" ref="D114:D115" si="108">0</f>
        <v>0</v>
      </c>
      <c r="E114" s="2"/>
      <c r="F114" s="19">
        <f t="shared" si="100"/>
        <v>0</v>
      </c>
      <c r="G114" s="2"/>
      <c r="H114" s="2">
        <v>0</v>
      </c>
      <c r="I114" s="2"/>
      <c r="J114" s="19">
        <f t="shared" si="101"/>
        <v>0</v>
      </c>
      <c r="K114" s="2"/>
      <c r="L114" s="2">
        <f t="shared" si="102"/>
        <v>0</v>
      </c>
      <c r="M114" s="2"/>
      <c r="N114" s="19">
        <f t="shared" si="103"/>
        <v>0</v>
      </c>
      <c r="O114" s="11"/>
      <c r="P114" s="2">
        <f>--28753.08</f>
        <v>28753.08</v>
      </c>
      <c r="Q114" s="2"/>
      <c r="R114" s="19">
        <f t="shared" si="104"/>
        <v>3.2147347386670432E-2</v>
      </c>
      <c r="S114" s="2"/>
      <c r="T114" s="2">
        <v>11344</v>
      </c>
      <c r="U114" s="2"/>
      <c r="V114" s="19">
        <f t="shared" si="105"/>
        <v>1.2161521819768477E-2</v>
      </c>
      <c r="W114" s="2"/>
      <c r="X114" s="2">
        <f t="shared" si="106"/>
        <v>17409.080000000002</v>
      </c>
      <c r="Y114" s="2"/>
      <c r="Z114" s="19">
        <f t="shared" si="107"/>
        <v>1.5346509167842033</v>
      </c>
    </row>
    <row r="115" spans="1:26" s="24" customFormat="1" hidden="1" outlineLevel="1" x14ac:dyDescent="0.25">
      <c r="A115" s="44"/>
      <c r="B115" s="11" t="str">
        <f>CONCATENATE("          ", "9160", " - ", "MISC. INCOME")</f>
        <v xml:space="preserve">          9160 - MISC. INCOME</v>
      </c>
      <c r="C115" s="11"/>
      <c r="D115" s="2">
        <f t="shared" si="108"/>
        <v>0</v>
      </c>
      <c r="E115" s="2"/>
      <c r="F115" s="19">
        <f t="shared" si="100"/>
        <v>0</v>
      </c>
      <c r="G115" s="2"/>
      <c r="H115" s="2"/>
      <c r="I115" s="2"/>
      <c r="J115" s="19">
        <f t="shared" si="101"/>
        <v>0</v>
      </c>
      <c r="K115" s="2"/>
      <c r="L115" s="2">
        <f t="shared" si="102"/>
        <v>0</v>
      </c>
      <c r="M115" s="2"/>
      <c r="N115" s="19">
        <f t="shared" si="103"/>
        <v>0</v>
      </c>
      <c r="O115" s="11"/>
      <c r="P115" s="2">
        <f>0</f>
        <v>0</v>
      </c>
      <c r="Q115" s="2"/>
      <c r="R115" s="19">
        <f t="shared" si="104"/>
        <v>0</v>
      </c>
      <c r="S115" s="2"/>
      <c r="T115" s="2">
        <v>0</v>
      </c>
      <c r="U115" s="2"/>
      <c r="V115" s="19">
        <f t="shared" si="105"/>
        <v>0</v>
      </c>
      <c r="W115" s="2"/>
      <c r="X115" s="2">
        <f t="shared" si="106"/>
        <v>0</v>
      </c>
      <c r="Y115" s="2"/>
      <c r="Z115" s="19">
        <f t="shared" si="107"/>
        <v>0</v>
      </c>
    </row>
    <row r="116" spans="1:26" s="24" customFormat="1" hidden="1" outlineLevel="1" x14ac:dyDescent="0.25">
      <c r="A116" s="44"/>
      <c r="B116" s="11" t="str">
        <f>CONCATENATE("          ", "9163", " - ", "MISC. INCOME")</f>
        <v xml:space="preserve">          9163 - MISC. INCOME</v>
      </c>
      <c r="C116" s="11"/>
      <c r="D116" s="2">
        <f>-308.7</f>
        <v>-308.7</v>
      </c>
      <c r="E116" s="2"/>
      <c r="F116" s="19">
        <f t="shared" si="100"/>
        <v>-1.0026037167075155E-3</v>
      </c>
      <c r="G116" s="2"/>
      <c r="H116" s="2"/>
      <c r="I116" s="2"/>
      <c r="J116" s="19">
        <f t="shared" si="101"/>
        <v>0</v>
      </c>
      <c r="K116" s="2"/>
      <c r="L116" s="2">
        <f t="shared" si="102"/>
        <v>-308.7</v>
      </c>
      <c r="M116" s="2"/>
      <c r="N116" s="19">
        <f t="shared" si="103"/>
        <v>0</v>
      </c>
      <c r="O116" s="11"/>
      <c r="P116" s="2">
        <f>--63011.24</f>
        <v>63011.24</v>
      </c>
      <c r="Q116" s="2"/>
      <c r="R116" s="19">
        <f t="shared" si="104"/>
        <v>7.0449643013717603E-2</v>
      </c>
      <c r="S116" s="2"/>
      <c r="T116" s="2"/>
      <c r="U116" s="2"/>
      <c r="V116" s="19">
        <f t="shared" si="105"/>
        <v>0</v>
      </c>
      <c r="W116" s="2"/>
      <c r="X116" s="2">
        <f t="shared" si="106"/>
        <v>63011.24</v>
      </c>
      <c r="Y116" s="2"/>
      <c r="Z116" s="19">
        <f t="shared" si="107"/>
        <v>0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x14ac:dyDescent="0.25">
      <c r="A118" s="10"/>
      <c r="B118" s="25" t="s">
        <v>277</v>
      </c>
      <c r="C118" s="25"/>
      <c r="D118" s="21">
        <f>+D39-D41+D113</f>
        <v>77111.259999999995</v>
      </c>
      <c r="E118" s="13"/>
      <c r="F118" s="20">
        <f>IF(D$12=0,0,D118/D$12)</f>
        <v>0.2504439127826355</v>
      </c>
      <c r="G118" s="13"/>
      <c r="H118" s="21">
        <f>+H39-H41+H113</f>
        <v>29689.503482307671</v>
      </c>
      <c r="I118" s="13"/>
      <c r="J118" s="20">
        <f>IF(H$12=0,0,H118/H$12)</f>
        <v>0.12048822483790297</v>
      </c>
      <c r="K118" s="16"/>
      <c r="L118" s="21">
        <f>+D118-H118</f>
        <v>47421.756517692324</v>
      </c>
      <c r="M118" s="16"/>
      <c r="N118" s="20">
        <f>IF(H118=0,0,L118/H118)</f>
        <v>1.5972566380556521</v>
      </c>
      <c r="O118" s="26"/>
      <c r="P118" s="21">
        <f>+P39-P41+P113</f>
        <v>297768.58000000019</v>
      </c>
      <c r="Q118" s="13"/>
      <c r="R118" s="20">
        <f>IF(P$12=0,0,P118/P$12)</f>
        <v>0.33291981179392161</v>
      </c>
      <c r="S118" s="13"/>
      <c r="T118" s="21">
        <f>+T39-T41+T113</f>
        <v>136631.11538999999</v>
      </c>
      <c r="U118" s="13"/>
      <c r="V118" s="20">
        <f>IF(T$12=0,0,T118/T$12)</f>
        <v>0.14647763496780583</v>
      </c>
      <c r="W118" s="16"/>
      <c r="X118" s="21">
        <f>+P118-T118</f>
        <v>161137.4646100002</v>
      </c>
      <c r="Y118" s="16"/>
      <c r="Z118" s="20">
        <f>IF(T118=0,0,X118/T118)</f>
        <v>1.1793614079051413</v>
      </c>
    </row>
    <row r="119" spans="1:26" x14ac:dyDescent="0.25">
      <c r="A119" s="9"/>
      <c r="B119" s="10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52"/>
      <c r="B120" s="10" t="s">
        <v>128</v>
      </c>
      <c r="C120" s="10"/>
      <c r="D120" s="4">
        <v>23061.8</v>
      </c>
      <c r="E120" s="4"/>
      <c r="F120" s="12">
        <f>IF(D$12=0,0,D120/D$12)</f>
        <v>7.4900700984662727E-2</v>
      </c>
      <c r="G120" s="4"/>
      <c r="H120" s="4">
        <v>24416</v>
      </c>
      <c r="I120" s="4"/>
      <c r="J120" s="12">
        <f>IF(H$12=0,0,H120/H$12)</f>
        <v>9.9086887707479407E-2</v>
      </c>
      <c r="K120" s="4"/>
      <c r="L120" s="4">
        <f>+D120-H120</f>
        <v>-1354.2000000000007</v>
      </c>
      <c r="M120" s="4"/>
      <c r="N120" s="12">
        <f>IF(H120=0,0,L120/H120)</f>
        <v>-5.5463630406290987E-2</v>
      </c>
      <c r="O120" s="10"/>
      <c r="P120" s="4">
        <v>110706.82</v>
      </c>
      <c r="Q120" s="4"/>
      <c r="R120" s="12">
        <f>IF(P$12=0,0,P120/P$12)</f>
        <v>0.12377563031903344</v>
      </c>
      <c r="S120" s="4"/>
      <c r="T120" s="4">
        <v>101286</v>
      </c>
      <c r="U120" s="4"/>
      <c r="V120" s="12">
        <f>IF(T$12=0,0,T120/T$12)</f>
        <v>0.1085853225526331</v>
      </c>
      <c r="W120" s="4"/>
      <c r="X120" s="4">
        <f>+P120-T120</f>
        <v>9420.820000000007</v>
      </c>
      <c r="Y120" s="4"/>
      <c r="Z120" s="12">
        <f>IF(T120=0,0,X120/T120)</f>
        <v>9.301206484607949E-2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5" t="s">
        <v>126</v>
      </c>
      <c r="C122" s="25"/>
      <c r="D122" s="33">
        <f>+D118-D120</f>
        <v>54049.459999999992</v>
      </c>
      <c r="E122" s="13"/>
      <c r="F122" s="31">
        <f>IF(D$12=0,0,D122/D$12)</f>
        <v>0.17554321179797275</v>
      </c>
      <c r="G122" s="13"/>
      <c r="H122" s="33">
        <f>+H118-H120</f>
        <v>5273.5034823076712</v>
      </c>
      <c r="I122" s="13"/>
      <c r="J122" s="31">
        <f>IF(H$12=0,0,H122/H$12)</f>
        <v>2.1401337130423567E-2</v>
      </c>
      <c r="K122" s="16"/>
      <c r="L122" s="33">
        <f>D122-H122</f>
        <v>48775.956517692321</v>
      </c>
      <c r="M122" s="16"/>
      <c r="N122" s="31">
        <f>IF(H122=0,0,L122/H122)</f>
        <v>9.249250840799311</v>
      </c>
      <c r="O122" s="26"/>
      <c r="P122" s="33">
        <f>+P118-P120</f>
        <v>187061.76000000018</v>
      </c>
      <c r="Q122" s="13"/>
      <c r="R122" s="31">
        <f>IF(P$12=0,0,P122/P$12)</f>
        <v>0.20914418147488817</v>
      </c>
      <c r="S122" s="13"/>
      <c r="T122" s="33">
        <f>+T118-T120</f>
        <v>35345.115389999992</v>
      </c>
      <c r="U122" s="13"/>
      <c r="V122" s="31">
        <f>IF(T$12=0,0,T122/T$12)</f>
        <v>3.7892312415172734E-2</v>
      </c>
      <c r="W122" s="16"/>
      <c r="X122" s="33">
        <f>P122-T122</f>
        <v>151716.64461000019</v>
      </c>
      <c r="Y122" s="16"/>
      <c r="Z122" s="31">
        <f>IF(T122=0,0,X122/T122)</f>
        <v>4.2924359684768376</v>
      </c>
    </row>
    <row r="123" spans="1:26" ht="15.75" thickTop="1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5" t="s">
        <v>294</v>
      </c>
      <c r="C125" s="25"/>
      <c r="D125" s="35">
        <f>SUM(D122:D124)</f>
        <v>54049.459999999992</v>
      </c>
      <c r="E125" s="13"/>
      <c r="F125" s="34">
        <f>IF(D$12=0,0,D125/D$12)</f>
        <v>0.17554321179797275</v>
      </c>
      <c r="G125" s="13"/>
      <c r="H125" s="35">
        <f>SUM(H122:H124)</f>
        <v>5273.5034823076712</v>
      </c>
      <c r="I125" s="13"/>
      <c r="J125" s="34">
        <f>IF(H$12=0,0,H125/H$12)</f>
        <v>2.1401337130423567E-2</v>
      </c>
      <c r="K125" s="16"/>
      <c r="L125" s="35">
        <f>+D125-H125</f>
        <v>48775.956517692321</v>
      </c>
      <c r="M125" s="16"/>
      <c r="N125" s="34">
        <f>IF(H125=0,0,L125/H125)</f>
        <v>9.249250840799311</v>
      </c>
      <c r="O125" s="26"/>
      <c r="P125" s="35">
        <f>SUM(P122:P124)</f>
        <v>187061.76000000018</v>
      </c>
      <c r="Q125" s="13"/>
      <c r="R125" s="34">
        <f>IF(P$12=0,0,P125/P$12)</f>
        <v>0.20914418147488817</v>
      </c>
      <c r="S125" s="13"/>
      <c r="T125" s="35">
        <f>SUM(T122:T124)</f>
        <v>35345.115389999992</v>
      </c>
      <c r="U125" s="13"/>
      <c r="V125" s="34">
        <f>IF(T$12=0,0,T125/T$12)</f>
        <v>3.7892312415172734E-2</v>
      </c>
      <c r="W125" s="16"/>
      <c r="X125" s="35">
        <f>+P125-T125</f>
        <v>151716.64461000019</v>
      </c>
      <c r="Y125" s="16"/>
      <c r="Z125" s="34">
        <f>IF(T125=0,0,X125/T125)</f>
        <v>4.2924359684768376</v>
      </c>
    </row>
    <row r="126" spans="1:26" ht="15.75" thickTop="1" x14ac:dyDescent="0.25">
      <c r="A126" s="9"/>
      <c r="C126" s="9"/>
      <c r="D126" s="18"/>
      <c r="E126" s="18"/>
      <c r="G126" s="18"/>
      <c r="H126" s="18"/>
      <c r="I126" s="18"/>
      <c r="J126" s="43"/>
      <c r="K126" s="18"/>
      <c r="L126" s="18"/>
      <c r="M126" s="18"/>
      <c r="P126" s="18"/>
      <c r="Q126" s="18"/>
      <c r="R126" s="43"/>
      <c r="S126" s="18"/>
      <c r="T126" s="18"/>
      <c r="U126" s="18"/>
      <c r="V126" s="43"/>
      <c r="W126" s="18"/>
      <c r="X126" s="18"/>
    </row>
    <row r="127" spans="1:26" x14ac:dyDescent="0.25">
      <c r="A127" s="9"/>
      <c r="B127" s="61">
        <v>44481.97893553241</v>
      </c>
      <c r="D127" s="18"/>
      <c r="E127" s="18"/>
      <c r="G127" s="18"/>
      <c r="H127" s="18"/>
      <c r="I127" s="18"/>
      <c r="J127" s="43"/>
      <c r="K127" s="18"/>
      <c r="L127" s="18"/>
      <c r="M127" s="18"/>
      <c r="P127" s="18"/>
      <c r="Q127" s="18"/>
      <c r="R127" s="43"/>
      <c r="S127" s="18"/>
      <c r="T127" s="18"/>
      <c r="U127" s="18"/>
      <c r="V127" s="43"/>
      <c r="W127" s="18"/>
      <c r="X127" s="18"/>
    </row>
    <row r="128" spans="1:26" x14ac:dyDescent="0.25">
      <c r="A128" s="9"/>
      <c r="B128" s="56" t="s">
        <v>56</v>
      </c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1:24" x14ac:dyDescent="0.25">
      <c r="A129" s="9"/>
      <c r="B129" s="54"/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  <outlinePr summaryBelow="0" summaryRight="0"/>
  </sheetPr>
  <dimension ref="A2:Z11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","315", " - ", "Bookstore Retail")</f>
        <v>Department 315 - Bookstore Retail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285269.82</v>
      </c>
      <c r="E12" s="4"/>
      <c r="F12" s="12"/>
      <c r="G12" s="4"/>
      <c r="H12" s="4">
        <f>SUM(OSRRefH13x_0)</f>
        <v>222974</v>
      </c>
      <c r="I12" s="4"/>
      <c r="J12" s="12"/>
      <c r="K12" s="4"/>
      <c r="L12" s="4">
        <f t="shared" ref="L12:L16" si="0">+D12-H12</f>
        <v>62295.820000000007</v>
      </c>
      <c r="M12" s="4"/>
      <c r="N12" s="12">
        <f t="shared" ref="N12:N16" si="1">IF(H12=0,0,L12/H12)</f>
        <v>0.27938602707042082</v>
      </c>
      <c r="O12" s="10"/>
      <c r="P12" s="4">
        <f>SUM(OSRRefP13x_0)</f>
        <v>804940.76</v>
      </c>
      <c r="Q12" s="4"/>
      <c r="R12" s="12"/>
      <c r="S12" s="4"/>
      <c r="T12" s="4">
        <f>SUM(OSRRefT13x_0)</f>
        <v>851645</v>
      </c>
      <c r="U12" s="4"/>
      <c r="V12" s="12"/>
      <c r="W12" s="4"/>
      <c r="X12" s="4">
        <f t="shared" ref="X12:X16" si="2">+P12-T12</f>
        <v>-46704.239999999991</v>
      </c>
      <c r="Y12" s="4"/>
      <c r="Z12" s="12">
        <f t="shared" ref="Z12:Z16" si="3">IF(T12=0,0,X12/T12)</f>
        <v>-5.4840033112388366E-2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--247528.61</f>
        <v>247528.61</v>
      </c>
      <c r="E13" s="2"/>
      <c r="F13" s="19"/>
      <c r="G13" s="2"/>
      <c r="H13" s="2">
        <v>222974</v>
      </c>
      <c r="I13" s="2"/>
      <c r="J13" s="19"/>
      <c r="K13" s="2"/>
      <c r="L13" s="2">
        <f t="shared" si="0"/>
        <v>24554.609999999986</v>
      </c>
      <c r="M13" s="2"/>
      <c r="N13" s="19">
        <f t="shared" si="1"/>
        <v>0.11012319822042026</v>
      </c>
      <c r="O13" s="11"/>
      <c r="P13" s="2">
        <f>--743004.26</f>
        <v>743004.26</v>
      </c>
      <c r="Q13" s="2"/>
      <c r="R13" s="19"/>
      <c r="S13" s="2"/>
      <c r="T13" s="2">
        <v>851645</v>
      </c>
      <c r="U13" s="2"/>
      <c r="V13" s="19"/>
      <c r="W13" s="2"/>
      <c r="X13" s="2">
        <f t="shared" si="2"/>
        <v>-108640.73999999999</v>
      </c>
      <c r="Y13" s="2"/>
      <c r="Z13" s="19">
        <f t="shared" si="3"/>
        <v>-0.12756575803298323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--48110.96</f>
        <v>48110.96</v>
      </c>
      <c r="E14" s="2"/>
      <c r="F14" s="19"/>
      <c r="G14" s="2"/>
      <c r="H14" s="2"/>
      <c r="I14" s="2"/>
      <c r="J14" s="19"/>
      <c r="K14" s="2"/>
      <c r="L14" s="2">
        <f t="shared" si="0"/>
        <v>48110.96</v>
      </c>
      <c r="M14" s="2"/>
      <c r="N14" s="19">
        <f t="shared" si="1"/>
        <v>0</v>
      </c>
      <c r="O14" s="11"/>
      <c r="P14" s="2">
        <f>--83384.54</f>
        <v>83384.539999999994</v>
      </c>
      <c r="Q14" s="2"/>
      <c r="R14" s="19"/>
      <c r="S14" s="2"/>
      <c r="T14" s="2"/>
      <c r="U14" s="2"/>
      <c r="V14" s="19"/>
      <c r="W14" s="2"/>
      <c r="X14" s="2">
        <f t="shared" si="2"/>
        <v>83384.539999999994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"4200", " - ", "TAXABLE RETURNS")</f>
        <v xml:space="preserve">          4200 - TAXABLE RETURNS</v>
      </c>
      <c r="C15" s="11"/>
      <c r="D15" s="2">
        <f>-10028.97</f>
        <v>-10028.969999999999</v>
      </c>
      <c r="E15" s="2"/>
      <c r="F15" s="19"/>
      <c r="G15" s="2"/>
      <c r="H15" s="2"/>
      <c r="I15" s="2"/>
      <c r="J15" s="19"/>
      <c r="K15" s="2"/>
      <c r="L15" s="2">
        <f t="shared" si="0"/>
        <v>-10028.969999999999</v>
      </c>
      <c r="M15" s="2"/>
      <c r="N15" s="19">
        <f t="shared" si="1"/>
        <v>0</v>
      </c>
      <c r="O15" s="11"/>
      <c r="P15" s="2">
        <f>-20889.06</f>
        <v>-20889.060000000001</v>
      </c>
      <c r="Q15" s="2"/>
      <c r="R15" s="19"/>
      <c r="S15" s="2"/>
      <c r="T15" s="2"/>
      <c r="U15" s="2"/>
      <c r="V15" s="19"/>
      <c r="W15" s="2"/>
      <c r="X15" s="2">
        <f t="shared" si="2"/>
        <v>-20889.060000000001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"4300", " - ", "NON-TAX RETURNS")</f>
        <v xml:space="preserve">          4300 - NON-TAX RETURNS</v>
      </c>
      <c r="C16" s="11"/>
      <c r="D16" s="2">
        <f>-340.78</f>
        <v>-340.78</v>
      </c>
      <c r="E16" s="2"/>
      <c r="F16" s="19"/>
      <c r="G16" s="2"/>
      <c r="H16" s="2"/>
      <c r="I16" s="2"/>
      <c r="J16" s="19"/>
      <c r="K16" s="2"/>
      <c r="L16" s="2">
        <f t="shared" si="0"/>
        <v>-340.78</v>
      </c>
      <c r="M16" s="2"/>
      <c r="N16" s="19">
        <f t="shared" si="1"/>
        <v>0</v>
      </c>
      <c r="O16" s="11"/>
      <c r="P16" s="2">
        <f>-558.98</f>
        <v>-558.98</v>
      </c>
      <c r="Q16" s="2"/>
      <c r="R16" s="19"/>
      <c r="S16" s="2"/>
      <c r="T16" s="2"/>
      <c r="U16" s="2"/>
      <c r="V16" s="19"/>
      <c r="W16" s="2"/>
      <c r="X16" s="2">
        <f t="shared" si="2"/>
        <v>-558.98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257</v>
      </c>
      <c r="C18" s="10"/>
      <c r="D18" s="4">
        <f>SUM(OSRRefD16x_0)</f>
        <v>134223.49</v>
      </c>
      <c r="E18" s="4"/>
      <c r="F18" s="12">
        <f t="shared" ref="F18:F37" si="4">IF(D$12=0,0,D18/D$12)</f>
        <v>0.47051416094418957</v>
      </c>
      <c r="G18" s="4"/>
      <c r="H18" s="4">
        <f>SUM(OSRRefH16x_0)</f>
        <v>110380</v>
      </c>
      <c r="I18" s="4"/>
      <c r="J18" s="12">
        <f t="shared" ref="J18:J37" si="5">IF(H$12=0,0,H18/H$12)</f>
        <v>0.49503529559500209</v>
      </c>
      <c r="K18" s="4"/>
      <c r="L18" s="4">
        <f t="shared" ref="L18:L37" si="6">+D18-H18</f>
        <v>23843.489999999991</v>
      </c>
      <c r="M18" s="4"/>
      <c r="N18" s="12">
        <f t="shared" ref="N18:N37" si="7">IF(H18=0,0,L18/H18)</f>
        <v>0.21601277405327043</v>
      </c>
      <c r="O18" s="10"/>
      <c r="P18" s="4">
        <f>SUM(OSRRefP16x_0)</f>
        <v>364531.32999999996</v>
      </c>
      <c r="Q18" s="4"/>
      <c r="R18" s="12">
        <f t="shared" ref="R18:R37" si="8">IF(P$12=0,0,P18/P$12)</f>
        <v>0.45286727684159012</v>
      </c>
      <c r="S18" s="4"/>
      <c r="T18" s="4">
        <f>SUM(OSRRefT16x_0)</f>
        <v>458876</v>
      </c>
      <c r="U18" s="4"/>
      <c r="V18" s="12">
        <f t="shared" ref="V18:V37" si="9">IF(T$12=0,0,T18/T$12)</f>
        <v>0.53881135919309098</v>
      </c>
      <c r="W18" s="4"/>
      <c r="X18" s="4">
        <f t="shared" ref="X18:X37" si="10">+P18-T18</f>
        <v>-94344.670000000042</v>
      </c>
      <c r="Y18" s="4"/>
      <c r="Z18" s="12">
        <f t="shared" ref="Z18:Z37" si="11">IF(T18=0,0,X18/T18)</f>
        <v>-0.20559948657153576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133581.15</v>
      </c>
      <c r="E19" s="2"/>
      <c r="F19" s="19">
        <f t="shared" si="4"/>
        <v>0.46826246814331773</v>
      </c>
      <c r="G19" s="2"/>
      <c r="H19" s="2">
        <v>110380</v>
      </c>
      <c r="I19" s="2"/>
      <c r="J19" s="19">
        <f t="shared" si="5"/>
        <v>0.49503529559500209</v>
      </c>
      <c r="K19" s="2"/>
      <c r="L19" s="2">
        <f t="shared" si="6"/>
        <v>23201.149999999994</v>
      </c>
      <c r="M19" s="2"/>
      <c r="N19" s="19">
        <f t="shared" si="7"/>
        <v>0.21019342272150746</v>
      </c>
      <c r="O19" s="11"/>
      <c r="P19" s="2">
        <v>277838.78999999998</v>
      </c>
      <c r="Q19" s="2"/>
      <c r="R19" s="19">
        <f t="shared" si="8"/>
        <v>0.3451667548801976</v>
      </c>
      <c r="S19" s="2"/>
      <c r="T19" s="2">
        <v>458876</v>
      </c>
      <c r="U19" s="2"/>
      <c r="V19" s="19">
        <f t="shared" si="9"/>
        <v>0.53881135919309098</v>
      </c>
      <c r="W19" s="2"/>
      <c r="X19" s="2">
        <f t="shared" si="10"/>
        <v>-181037.21000000002</v>
      </c>
      <c r="Y19" s="2"/>
      <c r="Z19" s="19">
        <f t="shared" si="11"/>
        <v>-0.39452316094108214</v>
      </c>
    </row>
    <row r="20" spans="1:26" s="24" customFormat="1" hidden="1" outlineLevel="1" x14ac:dyDescent="0.25">
      <c r="A20" s="44"/>
      <c r="B20" s="11" t="str">
        <f>CONCATENATE("          ", "5027", " - ", "PURCHASES @ COST-SCHOOL SUPPLI")</f>
        <v xml:space="preserve">          5027 - PURCHASES @ COST-SCHOOL SUPPLI</v>
      </c>
      <c r="C20" s="11"/>
      <c r="D20" s="2">
        <v>0</v>
      </c>
      <c r="E20" s="2"/>
      <c r="F20" s="19">
        <f t="shared" si="4"/>
        <v>0</v>
      </c>
      <c r="G20" s="2"/>
      <c r="H20" s="2"/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>
        <v>0</v>
      </c>
      <c r="Q20" s="2"/>
      <c r="R20" s="19">
        <f t="shared" si="8"/>
        <v>0</v>
      </c>
      <c r="S20" s="2"/>
      <c r="T20" s="2"/>
      <c r="U20" s="2"/>
      <c r="V20" s="19">
        <f t="shared" si="9"/>
        <v>0</v>
      </c>
      <c r="W20" s="2"/>
      <c r="X20" s="2">
        <f t="shared" si="10"/>
        <v>0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"5028", " - ", "PURCHASES @ COST-ART/TECH")</f>
        <v xml:space="preserve">          5028 - PURCHASES @ COST-ART/TECH</v>
      </c>
      <c r="C21" s="11"/>
      <c r="D21" s="2">
        <v>0</v>
      </c>
      <c r="E21" s="2"/>
      <c r="F21" s="19">
        <f t="shared" si="4"/>
        <v>0</v>
      </c>
      <c r="G21" s="2"/>
      <c r="H21" s="2"/>
      <c r="I21" s="2"/>
      <c r="J21" s="19">
        <f t="shared" si="5"/>
        <v>0</v>
      </c>
      <c r="K21" s="2"/>
      <c r="L21" s="2">
        <f t="shared" si="6"/>
        <v>0</v>
      </c>
      <c r="M21" s="2"/>
      <c r="N21" s="19">
        <f t="shared" si="7"/>
        <v>0</v>
      </c>
      <c r="O21" s="11"/>
      <c r="P21" s="2">
        <v>0</v>
      </c>
      <c r="Q21" s="2"/>
      <c r="R21" s="19">
        <f t="shared" si="8"/>
        <v>0</v>
      </c>
      <c r="S21" s="2"/>
      <c r="T21" s="2"/>
      <c r="U21" s="2"/>
      <c r="V21" s="19">
        <f t="shared" si="9"/>
        <v>0</v>
      </c>
      <c r="W21" s="2"/>
      <c r="X21" s="2">
        <f t="shared" si="10"/>
        <v>0</v>
      </c>
      <c r="Y21" s="2"/>
      <c r="Z21" s="19">
        <f t="shared" si="11"/>
        <v>0</v>
      </c>
    </row>
    <row r="22" spans="1:26" s="24" customFormat="1" hidden="1" outlineLevel="1" x14ac:dyDescent="0.25">
      <c r="A22" s="44"/>
      <c r="B22" s="11" t="str">
        <f>CONCATENATE("          ", "5031", " - ", "PURCHASES @ COST-FOOD")</f>
        <v xml:space="preserve">          5031 - PURCHASES @ COST-FOOD</v>
      </c>
      <c r="C22" s="11"/>
      <c r="D22" s="2">
        <v>0</v>
      </c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"5040", " - ", "PURCHASES @ COST-LOGO CLOTHING")</f>
        <v xml:space="preserve">          5040 - PURCHASES @ COST-LOGO CLOTHING</v>
      </c>
      <c r="C23" s="11"/>
      <c r="D23" s="2">
        <v>0</v>
      </c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25">
      <c r="A24" s="44"/>
      <c r="B24" s="11" t="str">
        <f>CONCATENATE("          ", "5041", " - ", "PURCHASES @ COST-LOGO GIFTS")</f>
        <v xml:space="preserve">          5041 - PURCHASES @ COST-LOGO GIFTS</v>
      </c>
      <c r="C24" s="11"/>
      <c r="D24" s="2">
        <v>0</v>
      </c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25">
      <c r="A25" s="44"/>
      <c r="B25" s="11" t="str">
        <f>CONCATENATE("          ", "5042", " - ", "PURCHASES @ COST-EVERYDAY GIFT")</f>
        <v xml:space="preserve">          5042 - PURCHASES @ COST-EVERYDAY GIFT</v>
      </c>
      <c r="C25" s="11"/>
      <c r="D25" s="2"/>
      <c r="E25" s="2"/>
      <c r="F25" s="19">
        <f t="shared" si="4"/>
        <v>0</v>
      </c>
      <c r="G25" s="2"/>
      <c r="H25" s="2"/>
      <c r="I25" s="2"/>
      <c r="J25" s="19">
        <f t="shared" si="5"/>
        <v>0</v>
      </c>
      <c r="K25" s="2"/>
      <c r="L25" s="2">
        <f t="shared" si="6"/>
        <v>0</v>
      </c>
      <c r="M25" s="2"/>
      <c r="N25" s="19">
        <f t="shared" si="7"/>
        <v>0</v>
      </c>
      <c r="O25" s="11"/>
      <c r="P25" s="2">
        <v>0</v>
      </c>
      <c r="Q25" s="2"/>
      <c r="R25" s="19">
        <f t="shared" si="8"/>
        <v>0</v>
      </c>
      <c r="S25" s="2"/>
      <c r="T25" s="2"/>
      <c r="U25" s="2"/>
      <c r="V25" s="19">
        <f t="shared" si="9"/>
        <v>0</v>
      </c>
      <c r="W25" s="2"/>
      <c r="X25" s="2">
        <f t="shared" si="10"/>
        <v>0</v>
      </c>
      <c r="Y25" s="2"/>
      <c r="Z25" s="19">
        <f t="shared" si="11"/>
        <v>0</v>
      </c>
    </row>
    <row r="26" spans="1:26" s="24" customFormat="1" hidden="1" outlineLevel="1" x14ac:dyDescent="0.25">
      <c r="A26" s="44"/>
      <c r="B26" s="11" t="str">
        <f>CONCATENATE("          ", "5043", " - ", "PURCHASES @ COST-CARDS")</f>
        <v xml:space="preserve">          5043 - PURCHASES @ COST-CARDS</v>
      </c>
      <c r="C26" s="11"/>
      <c r="D26" s="2"/>
      <c r="E26" s="2"/>
      <c r="F26" s="19">
        <f t="shared" si="4"/>
        <v>0</v>
      </c>
      <c r="G26" s="2"/>
      <c r="H26" s="2"/>
      <c r="I26" s="2"/>
      <c r="J26" s="19">
        <f t="shared" si="5"/>
        <v>0</v>
      </c>
      <c r="K26" s="2"/>
      <c r="L26" s="2">
        <f t="shared" si="6"/>
        <v>0</v>
      </c>
      <c r="M26" s="2"/>
      <c r="N26" s="19">
        <f t="shared" si="7"/>
        <v>0</v>
      </c>
      <c r="O26" s="11"/>
      <c r="P26" s="2">
        <v>0</v>
      </c>
      <c r="Q26" s="2"/>
      <c r="R26" s="19">
        <f t="shared" si="8"/>
        <v>0</v>
      </c>
      <c r="S26" s="2"/>
      <c r="T26" s="2"/>
      <c r="U26" s="2"/>
      <c r="V26" s="19">
        <f t="shared" si="9"/>
        <v>0</v>
      </c>
      <c r="W26" s="2"/>
      <c r="X26" s="2">
        <f t="shared" si="10"/>
        <v>0</v>
      </c>
      <c r="Y26" s="2"/>
      <c r="Z26" s="19">
        <f t="shared" si="11"/>
        <v>0</v>
      </c>
    </row>
    <row r="27" spans="1:26" s="24" customFormat="1" hidden="1" outlineLevel="1" x14ac:dyDescent="0.25">
      <c r="A27" s="44"/>
      <c r="B27" s="11" t="str">
        <f>CONCATENATE("          ", "5044", " - ", "PURCHASES @ COST-ACCESSORIES")</f>
        <v xml:space="preserve">          5044 - PURCHASES @ COST-ACCESSORIES</v>
      </c>
      <c r="C27" s="11"/>
      <c r="D27" s="2"/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0</v>
      </c>
      <c r="Q27" s="2"/>
      <c r="R27" s="19">
        <f t="shared" si="8"/>
        <v>0</v>
      </c>
      <c r="S27" s="2"/>
      <c r="T27" s="2"/>
      <c r="U27" s="2"/>
      <c r="V27" s="19">
        <f t="shared" si="9"/>
        <v>0</v>
      </c>
      <c r="W27" s="2"/>
      <c r="X27" s="2">
        <f t="shared" si="10"/>
        <v>0</v>
      </c>
      <c r="Y27" s="2"/>
      <c r="Z27" s="19">
        <f t="shared" si="11"/>
        <v>0</v>
      </c>
    </row>
    <row r="28" spans="1:26" s="24" customFormat="1" hidden="1" outlineLevel="1" x14ac:dyDescent="0.25">
      <c r="A28" s="44"/>
      <c r="B28" s="11" t="str">
        <f>CONCATENATE("          ", "5045", " - ", "PURCHASES @ COST-SPECIAL ORDER")</f>
        <v xml:space="preserve">          5045 - PURCHASES @ COST-SPECIAL ORDER</v>
      </c>
      <c r="C28" s="11"/>
      <c r="D28" s="2">
        <v>0</v>
      </c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s="24" customFormat="1" hidden="1" outlineLevel="1" x14ac:dyDescent="0.25">
      <c r="A29" s="44"/>
      <c r="B29" s="11" t="str">
        <f>CONCATENATE("          ", "5200", " - ", "PURCHASES OFFSET")</f>
        <v xml:space="preserve">          5200 - PURCHASES OFFSET</v>
      </c>
      <c r="C29" s="11"/>
      <c r="D29" s="2">
        <v>-136492.88</v>
      </c>
      <c r="E29" s="2"/>
      <c r="F29" s="19">
        <f t="shared" si="4"/>
        <v>-0.47846940135482963</v>
      </c>
      <c r="G29" s="2"/>
      <c r="H29" s="2"/>
      <c r="I29" s="2"/>
      <c r="J29" s="19">
        <f t="shared" si="5"/>
        <v>0</v>
      </c>
      <c r="K29" s="2"/>
      <c r="L29" s="2">
        <f t="shared" si="6"/>
        <v>-136492.88</v>
      </c>
      <c r="M29" s="2"/>
      <c r="N29" s="19">
        <f t="shared" si="7"/>
        <v>0</v>
      </c>
      <c r="O29" s="11"/>
      <c r="P29" s="2">
        <v>-285161.01</v>
      </c>
      <c r="Q29" s="2"/>
      <c r="R29" s="19">
        <f t="shared" si="8"/>
        <v>-0.35426334976501872</v>
      </c>
      <c r="S29" s="2"/>
      <c r="T29" s="2"/>
      <c r="U29" s="2"/>
      <c r="V29" s="19">
        <f t="shared" si="9"/>
        <v>0</v>
      </c>
      <c r="W29" s="2"/>
      <c r="X29" s="2">
        <f t="shared" si="10"/>
        <v>-285161.01</v>
      </c>
      <c r="Y29" s="2"/>
      <c r="Z29" s="19">
        <f t="shared" si="11"/>
        <v>0</v>
      </c>
    </row>
    <row r="30" spans="1:26" s="24" customFormat="1" hidden="1" outlineLevel="1" x14ac:dyDescent="0.25">
      <c r="A30" s="44"/>
      <c r="B30" s="11" t="str">
        <f>CONCATENATE("          ", "5300", " - ", "COG$ OFFSET")</f>
        <v xml:space="preserve">          5300 - COG$ OFFSET</v>
      </c>
      <c r="C30" s="11"/>
      <c r="D30" s="2">
        <v>134223.49</v>
      </c>
      <c r="E30" s="2"/>
      <c r="F30" s="19">
        <f t="shared" si="4"/>
        <v>0.47051416094418957</v>
      </c>
      <c r="G30" s="2"/>
      <c r="H30" s="2"/>
      <c r="I30" s="2"/>
      <c r="J30" s="19">
        <f t="shared" si="5"/>
        <v>0</v>
      </c>
      <c r="K30" s="2"/>
      <c r="L30" s="2">
        <f t="shared" si="6"/>
        <v>134223.49</v>
      </c>
      <c r="M30" s="2"/>
      <c r="N30" s="19">
        <f t="shared" si="7"/>
        <v>0</v>
      </c>
      <c r="O30" s="11"/>
      <c r="P30" s="2">
        <v>364531.33</v>
      </c>
      <c r="Q30" s="2"/>
      <c r="R30" s="19">
        <f t="shared" si="8"/>
        <v>0.45286727684159017</v>
      </c>
      <c r="S30" s="2"/>
      <c r="T30" s="2"/>
      <c r="U30" s="2"/>
      <c r="V30" s="19">
        <f t="shared" si="9"/>
        <v>0</v>
      </c>
      <c r="W30" s="2"/>
      <c r="X30" s="2">
        <f t="shared" si="10"/>
        <v>364531.33</v>
      </c>
      <c r="Y30" s="2"/>
      <c r="Z30" s="19">
        <f t="shared" si="11"/>
        <v>0</v>
      </c>
    </row>
    <row r="31" spans="1:26" s="24" customFormat="1" hidden="1" outlineLevel="1" x14ac:dyDescent="0.25">
      <c r="A31" s="44"/>
      <c r="B31" s="11" t="str">
        <f>CONCATENATE("          ", "5500", " - ", "FREIGHT-IN")</f>
        <v xml:space="preserve">          5500 - FREIGHT-IN</v>
      </c>
      <c r="C31" s="11"/>
      <c r="D31" s="2">
        <v>2911.73</v>
      </c>
      <c r="E31" s="2"/>
      <c r="F31" s="19">
        <f t="shared" si="4"/>
        <v>1.0206933211511823E-2</v>
      </c>
      <c r="G31" s="2"/>
      <c r="H31" s="2"/>
      <c r="I31" s="2"/>
      <c r="J31" s="19">
        <f t="shared" si="5"/>
        <v>0</v>
      </c>
      <c r="K31" s="2"/>
      <c r="L31" s="2">
        <f t="shared" si="6"/>
        <v>2911.73</v>
      </c>
      <c r="M31" s="2"/>
      <c r="N31" s="19">
        <f t="shared" si="7"/>
        <v>0</v>
      </c>
      <c r="O31" s="11"/>
      <c r="P31" s="2">
        <v>7322.22</v>
      </c>
      <c r="Q31" s="2"/>
      <c r="R31" s="19">
        <f t="shared" si="8"/>
        <v>9.0965948848210892E-3</v>
      </c>
      <c r="S31" s="2"/>
      <c r="T31" s="2"/>
      <c r="U31" s="2"/>
      <c r="V31" s="19">
        <f t="shared" si="9"/>
        <v>0</v>
      </c>
      <c r="W31" s="2"/>
      <c r="X31" s="2">
        <f t="shared" si="10"/>
        <v>7322.22</v>
      </c>
      <c r="Y31" s="2"/>
      <c r="Z31" s="19">
        <f t="shared" si="11"/>
        <v>0</v>
      </c>
    </row>
    <row r="32" spans="1:26" s="24" customFormat="1" hidden="1" outlineLevel="1" x14ac:dyDescent="0.25">
      <c r="A32" s="44"/>
      <c r="B32" s="11" t="str">
        <f>CONCATENATE("          ", "5527", " - ", "FREIGHT-IN-SCHOOL SUPPLIES")</f>
        <v xml:space="preserve">          5527 - FREIGHT-IN-SCHOOL SUPPLIES</v>
      </c>
      <c r="C32" s="11"/>
      <c r="D32" s="2"/>
      <c r="E32" s="2"/>
      <c r="F32" s="19">
        <f t="shared" si="4"/>
        <v>0</v>
      </c>
      <c r="G32" s="2"/>
      <c r="H32" s="2"/>
      <c r="I32" s="2"/>
      <c r="J32" s="19">
        <f t="shared" si="5"/>
        <v>0</v>
      </c>
      <c r="K32" s="2"/>
      <c r="L32" s="2">
        <f t="shared" si="6"/>
        <v>0</v>
      </c>
      <c r="M32" s="2"/>
      <c r="N32" s="19">
        <f t="shared" si="7"/>
        <v>0</v>
      </c>
      <c r="O32" s="11"/>
      <c r="P32" s="2">
        <v>0</v>
      </c>
      <c r="Q32" s="2"/>
      <c r="R32" s="19">
        <f t="shared" si="8"/>
        <v>0</v>
      </c>
      <c r="S32" s="2"/>
      <c r="T32" s="2"/>
      <c r="U32" s="2"/>
      <c r="V32" s="19">
        <f t="shared" si="9"/>
        <v>0</v>
      </c>
      <c r="W32" s="2"/>
      <c r="X32" s="2">
        <f t="shared" si="10"/>
        <v>0</v>
      </c>
      <c r="Y32" s="2"/>
      <c r="Z32" s="19">
        <f t="shared" si="11"/>
        <v>0</v>
      </c>
    </row>
    <row r="33" spans="1:26" s="24" customFormat="1" hidden="1" outlineLevel="1" x14ac:dyDescent="0.25">
      <c r="A33" s="44"/>
      <c r="B33" s="11" t="str">
        <f>CONCATENATE("          ", "5540", " - ", "FREIGHT-IN-LOGO CLOTHING")</f>
        <v xml:space="preserve">          5540 - FREIGHT-IN-LOGO CLOTHING</v>
      </c>
      <c r="C33" s="11"/>
      <c r="D33" s="2"/>
      <c r="E33" s="2"/>
      <c r="F33" s="19">
        <f t="shared" si="4"/>
        <v>0</v>
      </c>
      <c r="G33" s="2"/>
      <c r="H33" s="2"/>
      <c r="I33" s="2"/>
      <c r="J33" s="19">
        <f t="shared" si="5"/>
        <v>0</v>
      </c>
      <c r="K33" s="2"/>
      <c r="L33" s="2">
        <f t="shared" si="6"/>
        <v>0</v>
      </c>
      <c r="M33" s="2"/>
      <c r="N33" s="19">
        <f t="shared" si="7"/>
        <v>0</v>
      </c>
      <c r="O33" s="11"/>
      <c r="P33" s="2">
        <v>0</v>
      </c>
      <c r="Q33" s="2"/>
      <c r="R33" s="19">
        <f t="shared" si="8"/>
        <v>0</v>
      </c>
      <c r="S33" s="2"/>
      <c r="T33" s="2"/>
      <c r="U33" s="2"/>
      <c r="V33" s="19">
        <f t="shared" si="9"/>
        <v>0</v>
      </c>
      <c r="W33" s="2"/>
      <c r="X33" s="2">
        <f t="shared" si="10"/>
        <v>0</v>
      </c>
      <c r="Y33" s="2"/>
      <c r="Z33" s="19">
        <f t="shared" si="11"/>
        <v>0</v>
      </c>
    </row>
    <row r="34" spans="1:26" s="24" customFormat="1" hidden="1" outlineLevel="1" x14ac:dyDescent="0.25">
      <c r="A34" s="44"/>
      <c r="B34" s="11" t="str">
        <f>CONCATENATE("          ", "5541", " - ", "FREIGHT-IN-LOGO GIFTS")</f>
        <v xml:space="preserve">          5541 - FREIGHT-IN-LOGO GIFTS</v>
      </c>
      <c r="C34" s="11"/>
      <c r="D34" s="2">
        <v>0</v>
      </c>
      <c r="E34" s="2"/>
      <c r="F34" s="19">
        <f t="shared" si="4"/>
        <v>0</v>
      </c>
      <c r="G34" s="2"/>
      <c r="H34" s="2"/>
      <c r="I34" s="2"/>
      <c r="J34" s="19">
        <f t="shared" si="5"/>
        <v>0</v>
      </c>
      <c r="K34" s="2"/>
      <c r="L34" s="2">
        <f t="shared" si="6"/>
        <v>0</v>
      </c>
      <c r="M34" s="2"/>
      <c r="N34" s="19">
        <f t="shared" si="7"/>
        <v>0</v>
      </c>
      <c r="O34" s="11"/>
      <c r="P34" s="2">
        <v>0</v>
      </c>
      <c r="Q34" s="2"/>
      <c r="R34" s="19">
        <f t="shared" si="8"/>
        <v>0</v>
      </c>
      <c r="S34" s="2"/>
      <c r="T34" s="2"/>
      <c r="U34" s="2"/>
      <c r="V34" s="19">
        <f t="shared" si="9"/>
        <v>0</v>
      </c>
      <c r="W34" s="2"/>
      <c r="X34" s="2">
        <f t="shared" si="10"/>
        <v>0</v>
      </c>
      <c r="Y34" s="2"/>
      <c r="Z34" s="19">
        <f t="shared" si="11"/>
        <v>0</v>
      </c>
    </row>
    <row r="35" spans="1:26" s="24" customFormat="1" hidden="1" outlineLevel="1" x14ac:dyDescent="0.25">
      <c r="A35" s="44"/>
      <c r="B35" s="11" t="str">
        <f>CONCATENATE("          ", "5542", " - ", "FREIGHT-IN-EVERYDAY GIFTS")</f>
        <v xml:space="preserve">          5542 - FREIGHT-IN-EVERYDAY GIFTS</v>
      </c>
      <c r="C35" s="11"/>
      <c r="D35" s="2"/>
      <c r="E35" s="2"/>
      <c r="F35" s="19">
        <f t="shared" si="4"/>
        <v>0</v>
      </c>
      <c r="G35" s="2"/>
      <c r="H35" s="2"/>
      <c r="I35" s="2"/>
      <c r="J35" s="19">
        <f t="shared" si="5"/>
        <v>0</v>
      </c>
      <c r="K35" s="2"/>
      <c r="L35" s="2">
        <f t="shared" si="6"/>
        <v>0</v>
      </c>
      <c r="M35" s="2"/>
      <c r="N35" s="19">
        <f t="shared" si="7"/>
        <v>0</v>
      </c>
      <c r="O35" s="11"/>
      <c r="P35" s="2">
        <v>0</v>
      </c>
      <c r="Q35" s="2"/>
      <c r="R35" s="19">
        <f t="shared" si="8"/>
        <v>0</v>
      </c>
      <c r="S35" s="2"/>
      <c r="T35" s="2"/>
      <c r="U35" s="2"/>
      <c r="V35" s="19">
        <f t="shared" si="9"/>
        <v>0</v>
      </c>
      <c r="W35" s="2"/>
      <c r="X35" s="2">
        <f t="shared" si="10"/>
        <v>0</v>
      </c>
      <c r="Y35" s="2"/>
      <c r="Z35" s="19">
        <f t="shared" si="11"/>
        <v>0</v>
      </c>
    </row>
    <row r="36" spans="1:26" s="24" customFormat="1" hidden="1" outlineLevel="1" x14ac:dyDescent="0.25">
      <c r="A36" s="44"/>
      <c r="B36" s="11" t="str">
        <f>CONCATENATE("          ", "5544", " - ", "FREIGHT-IN-ACCESSORIES")</f>
        <v xml:space="preserve">          5544 - FREIGHT-IN-ACCESSORIES</v>
      </c>
      <c r="C36" s="11"/>
      <c r="D36" s="2"/>
      <c r="E36" s="2"/>
      <c r="F36" s="19">
        <f t="shared" si="4"/>
        <v>0</v>
      </c>
      <c r="G36" s="2"/>
      <c r="H36" s="2"/>
      <c r="I36" s="2"/>
      <c r="J36" s="19">
        <f t="shared" si="5"/>
        <v>0</v>
      </c>
      <c r="K36" s="2"/>
      <c r="L36" s="2">
        <f t="shared" si="6"/>
        <v>0</v>
      </c>
      <c r="M36" s="2"/>
      <c r="N36" s="19">
        <f t="shared" si="7"/>
        <v>0</v>
      </c>
      <c r="O36" s="11"/>
      <c r="P36" s="2">
        <v>0</v>
      </c>
      <c r="Q36" s="2"/>
      <c r="R36" s="19">
        <f t="shared" si="8"/>
        <v>0</v>
      </c>
      <c r="S36" s="2"/>
      <c r="T36" s="2"/>
      <c r="U36" s="2"/>
      <c r="V36" s="19">
        <f t="shared" si="9"/>
        <v>0</v>
      </c>
      <c r="W36" s="2"/>
      <c r="X36" s="2">
        <f t="shared" si="10"/>
        <v>0</v>
      </c>
      <c r="Y36" s="2"/>
      <c r="Z36" s="19">
        <f t="shared" si="11"/>
        <v>0</v>
      </c>
    </row>
    <row r="37" spans="1:26" s="24" customFormat="1" hidden="1" outlineLevel="1" x14ac:dyDescent="0.25">
      <c r="A37" s="44"/>
      <c r="B37" s="11" t="str">
        <f>CONCATENATE("          ", "5545", " - ", "FREIGHT-IN-SPECIAL ORDERS")</f>
        <v xml:space="preserve">          5545 - FREIGHT-IN-SPECIAL ORDERS</v>
      </c>
      <c r="C37" s="11"/>
      <c r="D37" s="2"/>
      <c r="E37" s="2"/>
      <c r="F37" s="19">
        <f t="shared" si="4"/>
        <v>0</v>
      </c>
      <c r="G37" s="2"/>
      <c r="H37" s="2"/>
      <c r="I37" s="2"/>
      <c r="J37" s="19">
        <f t="shared" si="5"/>
        <v>0</v>
      </c>
      <c r="K37" s="2"/>
      <c r="L37" s="2">
        <f t="shared" si="6"/>
        <v>0</v>
      </c>
      <c r="M37" s="2"/>
      <c r="N37" s="19">
        <f t="shared" si="7"/>
        <v>0</v>
      </c>
      <c r="O37" s="11"/>
      <c r="P37" s="2">
        <v>0</v>
      </c>
      <c r="Q37" s="2"/>
      <c r="R37" s="19">
        <f t="shared" si="8"/>
        <v>0</v>
      </c>
      <c r="S37" s="2"/>
      <c r="T37" s="2"/>
      <c r="U37" s="2"/>
      <c r="V37" s="19">
        <f t="shared" si="9"/>
        <v>0</v>
      </c>
      <c r="W37" s="2"/>
      <c r="X37" s="2">
        <f t="shared" si="10"/>
        <v>0</v>
      </c>
      <c r="Y37" s="2"/>
      <c r="Z37" s="19">
        <f t="shared" si="11"/>
        <v>0</v>
      </c>
    </row>
    <row r="38" spans="1:26" x14ac:dyDescent="0.25">
      <c r="A38" s="9"/>
      <c r="B38" s="10"/>
      <c r="C38" s="10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O38" s="10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25">
      <c r="A39" s="10"/>
      <c r="B39" s="25" t="s">
        <v>108</v>
      </c>
      <c r="C39" s="25"/>
      <c r="D39" s="21">
        <f>D12-D18</f>
        <v>151046.33000000002</v>
      </c>
      <c r="E39" s="13"/>
      <c r="F39" s="20">
        <f>IF(D$12=0,0,D39/D$12)</f>
        <v>0.52948583905581048</v>
      </c>
      <c r="G39" s="13"/>
      <c r="H39" s="21">
        <f>H12-H18</f>
        <v>112594</v>
      </c>
      <c r="I39" s="13"/>
      <c r="J39" s="20">
        <f>IF(H$12=0,0,H39/H$12)</f>
        <v>0.50496470440499786</v>
      </c>
      <c r="K39" s="16"/>
      <c r="L39" s="21">
        <f>+D39-H39</f>
        <v>38452.330000000016</v>
      </c>
      <c r="M39" s="16"/>
      <c r="N39" s="20">
        <f>IF(H39=0,0,L39/H39)</f>
        <v>0.34151313569106717</v>
      </c>
      <c r="O39" s="26"/>
      <c r="P39" s="21">
        <f>P12-P18</f>
        <v>440409.43000000005</v>
      </c>
      <c r="Q39" s="13"/>
      <c r="R39" s="20">
        <f>IF(P$12=0,0,P39/P$12)</f>
        <v>0.54713272315840988</v>
      </c>
      <c r="S39" s="13"/>
      <c r="T39" s="21">
        <f>T12-T18</f>
        <v>392769</v>
      </c>
      <c r="U39" s="13"/>
      <c r="V39" s="20">
        <f>IF(T$12=0,0,T39/T$12)</f>
        <v>0.46118864080690897</v>
      </c>
      <c r="W39" s="16"/>
      <c r="X39" s="21">
        <f>+P39-T39</f>
        <v>47640.430000000051</v>
      </c>
      <c r="Y39" s="16"/>
      <c r="Z39" s="20">
        <f>IF(T39=0,0,X39/T39)</f>
        <v>0.12129376300064428</v>
      </c>
    </row>
    <row r="40" spans="1:26" x14ac:dyDescent="0.25">
      <c r="A40" s="9"/>
      <c r="B40" s="10"/>
      <c r="C40" s="9"/>
      <c r="D40" s="1"/>
      <c r="E40" s="1"/>
      <c r="F40" s="5"/>
      <c r="G40" s="1"/>
      <c r="H40" s="1"/>
      <c r="I40" s="1"/>
      <c r="J40" s="5"/>
      <c r="K40" s="1"/>
      <c r="L40" s="1"/>
      <c r="M40" s="1"/>
      <c r="N40" s="5"/>
      <c r="O40" s="36"/>
      <c r="P40" s="1"/>
      <c r="Q40" s="1"/>
      <c r="R40" s="5"/>
      <c r="S40" s="1"/>
      <c r="T40" s="1"/>
      <c r="U40" s="1"/>
      <c r="V40" s="5"/>
      <c r="W40" s="1"/>
      <c r="X40" s="1"/>
      <c r="Y40" s="1"/>
      <c r="Z40" s="5"/>
    </row>
    <row r="41" spans="1:26" s="23" customFormat="1" x14ac:dyDescent="0.25">
      <c r="A41" s="10"/>
      <c r="B41" s="26" t="s">
        <v>295</v>
      </c>
      <c r="C41" s="10"/>
      <c r="D41" s="22">
        <f>SUM(OSRRefD22x_0)</f>
        <v>70582.31</v>
      </c>
      <c r="E41" s="22"/>
      <c r="F41" s="32">
        <f t="shared" ref="F41:F51" si="12">IF(D$12=0,0,D41/D$12)</f>
        <v>0.24742298361600254</v>
      </c>
      <c r="G41" s="22"/>
      <c r="H41" s="22">
        <f>SUM(OSRRefH22x_0)</f>
        <v>75740.869701923075</v>
      </c>
      <c r="I41" s="22"/>
      <c r="J41" s="32">
        <f t="shared" ref="J41:J51" si="13">IF(H$12=0,0,H41/H$12)</f>
        <v>0.33968476011518417</v>
      </c>
      <c r="K41" s="4"/>
      <c r="L41" s="22">
        <f t="shared" ref="L41:L51" si="14">+D41-H41</f>
        <v>-5158.5597019230772</v>
      </c>
      <c r="M41" s="4"/>
      <c r="N41" s="32">
        <f t="shared" ref="N41:N51" si="15">IF(H41=0,0,L41/H41)</f>
        <v>-6.8108007238687679E-2</v>
      </c>
      <c r="O41" s="10"/>
      <c r="P41" s="22">
        <f>SUM(OSRRefP22x_0)</f>
        <v>232308.34000000003</v>
      </c>
      <c r="Q41" s="22"/>
      <c r="R41" s="32">
        <f t="shared" ref="R41:R51" si="16">IF(P$12=0,0,P41/P$12)</f>
        <v>0.28860302713456831</v>
      </c>
      <c r="S41" s="22"/>
      <c r="T41" s="22">
        <f>SUM(OSRRefT22x_0)</f>
        <v>247520.18853124999</v>
      </c>
      <c r="U41" s="22"/>
      <c r="V41" s="32">
        <f t="shared" ref="V41:V51" si="17">IF(T$12=0,0,T41/T$12)</f>
        <v>0.29063775226913796</v>
      </c>
      <c r="W41" s="4"/>
      <c r="X41" s="22">
        <f t="shared" ref="X41:X51" si="18">+P41-T41</f>
        <v>-15211.848531249969</v>
      </c>
      <c r="Y41" s="4"/>
      <c r="Z41" s="32">
        <f t="shared" ref="Z41:Z51" si="19">IF(T41=0,0,X41/T41)</f>
        <v>-6.1457001230949847E-2</v>
      </c>
    </row>
    <row r="42" spans="1:26" s="28" customFormat="1" outlineLevel="1" collapsed="1" x14ac:dyDescent="0.25">
      <c r="A42" s="27"/>
      <c r="B42" s="14" t="str">
        <f>CONCATENATE("     ","*Benefits                                         ")</f>
        <v xml:space="preserve">     *Benefits                                         </v>
      </c>
      <c r="C42" s="14"/>
      <c r="D42" s="1">
        <f>SUM(OSRRefD22_0x_0)</f>
        <v>12262.359999999999</v>
      </c>
      <c r="E42" s="1"/>
      <c r="F42" s="5">
        <f t="shared" si="12"/>
        <v>4.298512895615806E-2</v>
      </c>
      <c r="G42" s="1"/>
      <c r="H42" s="1">
        <f>SUM(OSRRefH22_0x_0)</f>
        <v>17453.119701923082</v>
      </c>
      <c r="I42" s="1"/>
      <c r="J42" s="5">
        <f t="shared" si="13"/>
        <v>7.8274236915169854E-2</v>
      </c>
      <c r="K42" s="1"/>
      <c r="L42" s="1">
        <f t="shared" si="14"/>
        <v>-5190.7597019230834</v>
      </c>
      <c r="M42" s="1"/>
      <c r="N42" s="5">
        <f t="shared" si="15"/>
        <v>-0.29741156827974635</v>
      </c>
      <c r="O42" s="14"/>
      <c r="P42" s="1">
        <f>SUM(OSRRefP22_0x_0)</f>
        <v>38397.450000000004</v>
      </c>
      <c r="Q42" s="1"/>
      <c r="R42" s="5">
        <f t="shared" si="16"/>
        <v>4.7702206060480777E-2</v>
      </c>
      <c r="S42" s="1"/>
      <c r="T42" s="1">
        <f>SUM(OSRRefT22_0x_0)</f>
        <v>50664.501031249994</v>
      </c>
      <c r="U42" s="1"/>
      <c r="V42" s="5">
        <f t="shared" si="17"/>
        <v>5.9490164365727495E-2</v>
      </c>
      <c r="W42" s="1"/>
      <c r="X42" s="1">
        <f t="shared" si="18"/>
        <v>-12267.05103124999</v>
      </c>
      <c r="Y42" s="1"/>
      <c r="Z42" s="5">
        <f t="shared" si="19"/>
        <v>-0.24212319832546345</v>
      </c>
    </row>
    <row r="43" spans="1:26" s="24" customFormat="1" hidden="1" outlineLevel="2" x14ac:dyDescent="0.25">
      <c r="A43" s="29"/>
      <c r="B43" s="11" t="str">
        <f>CONCATENATE("          ", "6111", " - ", "F.I.C.A.")</f>
        <v xml:space="preserve">          6111 - F.I.C.A.</v>
      </c>
      <c r="C43" s="11"/>
      <c r="D43" s="7">
        <v>2183.9299999999998</v>
      </c>
      <c r="E43" s="2"/>
      <c r="F43" s="6">
        <f t="shared" si="12"/>
        <v>7.6556643811812961E-3</v>
      </c>
      <c r="G43" s="2"/>
      <c r="H43" s="7">
        <v>4257.9378749999996</v>
      </c>
      <c r="I43" s="2"/>
      <c r="J43" s="6">
        <f t="shared" si="13"/>
        <v>1.9096118269394637E-2</v>
      </c>
      <c r="K43" s="2"/>
      <c r="L43" s="7">
        <f t="shared" si="14"/>
        <v>-2074.0078749999998</v>
      </c>
      <c r="M43" s="2"/>
      <c r="N43" s="6">
        <f t="shared" si="15"/>
        <v>-0.4870920938460146</v>
      </c>
      <c r="O43" s="11"/>
      <c r="P43" s="7">
        <v>8829.76</v>
      </c>
      <c r="Q43" s="2"/>
      <c r="R43" s="6">
        <f t="shared" si="16"/>
        <v>1.0969453205475642E-2</v>
      </c>
      <c r="S43" s="2"/>
      <c r="T43" s="7">
        <v>9085.7850937500007</v>
      </c>
      <c r="U43" s="2"/>
      <c r="V43" s="6">
        <f t="shared" si="17"/>
        <v>1.0668512224870693E-2</v>
      </c>
      <c r="W43" s="2"/>
      <c r="X43" s="7">
        <f t="shared" si="18"/>
        <v>-256.02509375000045</v>
      </c>
      <c r="Y43" s="2"/>
      <c r="Z43" s="6">
        <f t="shared" si="19"/>
        <v>-2.8178642913986262E-2</v>
      </c>
    </row>
    <row r="44" spans="1:26" s="24" customFormat="1" hidden="1" outlineLevel="2" x14ac:dyDescent="0.25">
      <c r="A44" s="29"/>
      <c r="B44" s="11" t="str">
        <f>CONCATENATE("          ", "6112", " - ", "COMPENSATION INSURANCE")</f>
        <v xml:space="preserve">          6112 - COMPENSATION INSURANCE</v>
      </c>
      <c r="C44" s="11"/>
      <c r="D44" s="7">
        <v>806.1</v>
      </c>
      <c r="E44" s="2"/>
      <c r="F44" s="6">
        <f t="shared" si="12"/>
        <v>2.8257458149621296E-3</v>
      </c>
      <c r="G44" s="2"/>
      <c r="H44" s="7">
        <v>867.94500000000005</v>
      </c>
      <c r="I44" s="2"/>
      <c r="J44" s="6">
        <f t="shared" si="13"/>
        <v>3.892583888704513E-3</v>
      </c>
      <c r="K44" s="2"/>
      <c r="L44" s="7">
        <f t="shared" si="14"/>
        <v>-61.845000000000027</v>
      </c>
      <c r="M44" s="2"/>
      <c r="N44" s="6">
        <f t="shared" si="15"/>
        <v>-7.1254514975027244E-2</v>
      </c>
      <c r="O44" s="11"/>
      <c r="P44" s="7">
        <v>2384.9299999999998</v>
      </c>
      <c r="Q44" s="2"/>
      <c r="R44" s="6">
        <f t="shared" si="16"/>
        <v>2.9628640000787135E-3</v>
      </c>
      <c r="S44" s="2"/>
      <c r="T44" s="7">
        <v>2820.82125</v>
      </c>
      <c r="U44" s="2"/>
      <c r="V44" s="6">
        <f t="shared" si="17"/>
        <v>3.3122031480252922E-3</v>
      </c>
      <c r="W44" s="2"/>
      <c r="X44" s="7">
        <f t="shared" si="18"/>
        <v>-435.89125000000013</v>
      </c>
      <c r="Y44" s="2"/>
      <c r="Z44" s="6">
        <f t="shared" si="19"/>
        <v>-0.15452636355458543</v>
      </c>
    </row>
    <row r="45" spans="1:26" s="24" customFormat="1" hidden="1" outlineLevel="2" x14ac:dyDescent="0.25">
      <c r="A45" s="29"/>
      <c r="B45" s="11" t="str">
        <f>CONCATENATE("          ", "6113", " - ", "GROUP INSURANCE")</f>
        <v xml:space="preserve">          6113 - GROUP INSURANCE</v>
      </c>
      <c r="C45" s="11"/>
      <c r="D45" s="7">
        <v>4306.93</v>
      </c>
      <c r="E45" s="2"/>
      <c r="F45" s="6">
        <f t="shared" si="12"/>
        <v>1.5097741499609038E-2</v>
      </c>
      <c r="G45" s="2"/>
      <c r="H45" s="7">
        <v>6784.4230769230799</v>
      </c>
      <c r="I45" s="2"/>
      <c r="J45" s="6">
        <f t="shared" si="13"/>
        <v>3.0426969408644415E-2</v>
      </c>
      <c r="K45" s="2"/>
      <c r="L45" s="7">
        <f t="shared" si="14"/>
        <v>-2477.4930769230796</v>
      </c>
      <c r="M45" s="2"/>
      <c r="N45" s="6">
        <f t="shared" si="15"/>
        <v>-0.36517372941409926</v>
      </c>
      <c r="O45" s="11"/>
      <c r="P45" s="7">
        <v>12875.79</v>
      </c>
      <c r="Q45" s="2"/>
      <c r="R45" s="6">
        <f t="shared" si="16"/>
        <v>1.5995947329092888E-2</v>
      </c>
      <c r="S45" s="2"/>
      <c r="T45" s="7">
        <v>20962.5</v>
      </c>
      <c r="U45" s="2"/>
      <c r="V45" s="6">
        <f t="shared" si="17"/>
        <v>2.4614129126572692E-2</v>
      </c>
      <c r="W45" s="2"/>
      <c r="X45" s="7">
        <f t="shared" si="18"/>
        <v>-8086.7099999999991</v>
      </c>
      <c r="Y45" s="2"/>
      <c r="Z45" s="6">
        <f t="shared" si="19"/>
        <v>-0.38577030411449009</v>
      </c>
    </row>
    <row r="46" spans="1:26" s="24" customFormat="1" hidden="1" outlineLevel="2" x14ac:dyDescent="0.25">
      <c r="A46" s="29"/>
      <c r="B46" s="11" t="str">
        <f>CONCATENATE("          ", "6114", " - ", "STATE UNEMPLOYMENT INSURANCE")</f>
        <v xml:space="preserve">          6114 - STATE UNEMPLOYMENT INSURANCE</v>
      </c>
      <c r="C46" s="11"/>
      <c r="D46" s="7">
        <v>141.61000000000001</v>
      </c>
      <c r="E46" s="2"/>
      <c r="F46" s="6">
        <f t="shared" si="12"/>
        <v>4.9640722597294037E-4</v>
      </c>
      <c r="G46" s="2"/>
      <c r="H46" s="7">
        <v>116.83875</v>
      </c>
      <c r="I46" s="2"/>
      <c r="J46" s="6">
        <f t="shared" si="13"/>
        <v>5.2400167732560745E-4</v>
      </c>
      <c r="K46" s="2"/>
      <c r="L46" s="7">
        <f t="shared" si="14"/>
        <v>24.771250000000009</v>
      </c>
      <c r="M46" s="2"/>
      <c r="N46" s="6">
        <f t="shared" si="15"/>
        <v>0.21201228188422083</v>
      </c>
      <c r="O46" s="11"/>
      <c r="P46" s="7">
        <v>418.97</v>
      </c>
      <c r="Q46" s="2"/>
      <c r="R46" s="6">
        <f t="shared" si="16"/>
        <v>5.2049793080424951E-4</v>
      </c>
      <c r="S46" s="2"/>
      <c r="T46" s="7">
        <v>379.72593749999999</v>
      </c>
      <c r="U46" s="2"/>
      <c r="V46" s="6">
        <f t="shared" si="17"/>
        <v>4.4587350069571238E-4</v>
      </c>
      <c r="W46" s="2"/>
      <c r="X46" s="7">
        <f t="shared" si="18"/>
        <v>39.244062500000041</v>
      </c>
      <c r="Y46" s="2"/>
      <c r="Z46" s="6">
        <f t="shared" si="19"/>
        <v>0.10334838530749574</v>
      </c>
    </row>
    <row r="47" spans="1:26" s="24" customFormat="1" hidden="1" outlineLevel="2" x14ac:dyDescent="0.25">
      <c r="A47" s="29"/>
      <c r="B47" s="11" t="str">
        <f>CONCATENATE("          ", "6115", " - ", "P.E.R.S.")</f>
        <v xml:space="preserve">          6115 - P.E.R.S.</v>
      </c>
      <c r="C47" s="11"/>
      <c r="D47" s="7">
        <v>1490.59</v>
      </c>
      <c r="E47" s="2"/>
      <c r="F47" s="6">
        <f t="shared" si="12"/>
        <v>5.2251934677141794E-3</v>
      </c>
      <c r="G47" s="2"/>
      <c r="H47" s="7">
        <v>1207.2249999999999</v>
      </c>
      <c r="I47" s="2"/>
      <c r="J47" s="6">
        <f t="shared" si="13"/>
        <v>5.4141962740050405E-3</v>
      </c>
      <c r="K47" s="2"/>
      <c r="L47" s="7">
        <f t="shared" si="14"/>
        <v>283.36500000000001</v>
      </c>
      <c r="M47" s="2"/>
      <c r="N47" s="6">
        <f t="shared" si="15"/>
        <v>0.23472426432520865</v>
      </c>
      <c r="O47" s="11"/>
      <c r="P47" s="7">
        <v>4471.7700000000004</v>
      </c>
      <c r="Q47" s="2"/>
      <c r="R47" s="6">
        <f t="shared" si="16"/>
        <v>5.5554026112430935E-3</v>
      </c>
      <c r="S47" s="2"/>
      <c r="T47" s="7">
        <v>3923.4812499999998</v>
      </c>
      <c r="U47" s="2"/>
      <c r="V47" s="6">
        <f t="shared" si="17"/>
        <v>4.6069445015235223E-3</v>
      </c>
      <c r="W47" s="2"/>
      <c r="X47" s="7">
        <f t="shared" si="18"/>
        <v>548.28875000000062</v>
      </c>
      <c r="Y47" s="2"/>
      <c r="Z47" s="6">
        <f t="shared" si="19"/>
        <v>0.13974547476173121</v>
      </c>
    </row>
    <row r="48" spans="1:26" s="24" customFormat="1" hidden="1" outlineLevel="2" x14ac:dyDescent="0.25">
      <c r="A48" s="29"/>
      <c r="B48" s="11" t="str">
        <f>CONCATENATE("          ", "6116", " - ", "EDUCATIONAL BENEFITS")</f>
        <v xml:space="preserve">          6116 - EDUCATIONAL BENEFITS</v>
      </c>
      <c r="C48" s="11"/>
      <c r="D48" s="7"/>
      <c r="E48" s="2"/>
      <c r="F48" s="6">
        <f t="shared" si="12"/>
        <v>0</v>
      </c>
      <c r="G48" s="2"/>
      <c r="H48" s="7">
        <v>0</v>
      </c>
      <c r="I48" s="2"/>
      <c r="J48" s="6">
        <f t="shared" si="13"/>
        <v>0</v>
      </c>
      <c r="K48" s="2"/>
      <c r="L48" s="7">
        <f t="shared" si="14"/>
        <v>0</v>
      </c>
      <c r="M48" s="2"/>
      <c r="N48" s="6">
        <f t="shared" si="15"/>
        <v>0</v>
      </c>
      <c r="O48" s="11"/>
      <c r="P48" s="7"/>
      <c r="Q48" s="2"/>
      <c r="R48" s="6">
        <f t="shared" si="16"/>
        <v>0</v>
      </c>
      <c r="S48" s="2"/>
      <c r="T48" s="7">
        <v>0</v>
      </c>
      <c r="U48" s="2"/>
      <c r="V48" s="6">
        <f t="shared" si="17"/>
        <v>0</v>
      </c>
      <c r="W48" s="2"/>
      <c r="X48" s="7">
        <f t="shared" si="18"/>
        <v>0</v>
      </c>
      <c r="Y48" s="2"/>
      <c r="Z48" s="6">
        <f t="shared" si="19"/>
        <v>0</v>
      </c>
    </row>
    <row r="49" spans="1:26" s="24" customFormat="1" hidden="1" outlineLevel="2" x14ac:dyDescent="0.25">
      <c r="A49" s="29"/>
      <c r="B49" s="11" t="str">
        <f>CONCATENATE("          ", "6118", " - ", "VACATION")</f>
        <v xml:space="preserve">          6118 - VACATION</v>
      </c>
      <c r="C49" s="11"/>
      <c r="D49" s="7">
        <v>1599.65</v>
      </c>
      <c r="E49" s="2"/>
      <c r="F49" s="6">
        <f t="shared" si="12"/>
        <v>5.6074981924130636E-3</v>
      </c>
      <c r="G49" s="2"/>
      <c r="H49" s="7">
        <v>1113.875</v>
      </c>
      <c r="I49" s="2"/>
      <c r="J49" s="6">
        <f t="shared" si="13"/>
        <v>4.9955375963116775E-3</v>
      </c>
      <c r="K49" s="2"/>
      <c r="L49" s="7">
        <f t="shared" si="14"/>
        <v>485.77500000000009</v>
      </c>
      <c r="M49" s="2"/>
      <c r="N49" s="6">
        <f t="shared" si="15"/>
        <v>0.43611266973403667</v>
      </c>
      <c r="O49" s="11"/>
      <c r="P49" s="7">
        <v>4746.49</v>
      </c>
      <c r="Q49" s="2"/>
      <c r="R49" s="6">
        <f t="shared" si="16"/>
        <v>5.8966948077023703E-3</v>
      </c>
      <c r="S49" s="2"/>
      <c r="T49" s="7">
        <v>3620.09375</v>
      </c>
      <c r="U49" s="2"/>
      <c r="V49" s="6">
        <f t="shared" si="17"/>
        <v>4.2507074543970784E-3</v>
      </c>
      <c r="W49" s="2"/>
      <c r="X49" s="7">
        <f t="shared" si="18"/>
        <v>1126.3962499999998</v>
      </c>
      <c r="Y49" s="2"/>
      <c r="Z49" s="6">
        <f t="shared" si="19"/>
        <v>0.31115112695631147</v>
      </c>
    </row>
    <row r="50" spans="1:26" s="24" customFormat="1" hidden="1" outlineLevel="2" x14ac:dyDescent="0.25">
      <c r="A50" s="29"/>
      <c r="B50" s="11" t="str">
        <f>CONCATENATE("          ", "6119", " - ", "SICK LEAVE")</f>
        <v xml:space="preserve">          6119 - SICK LEAVE</v>
      </c>
      <c r="C50" s="11"/>
      <c r="D50" s="7">
        <v>1066.4000000000001</v>
      </c>
      <c r="E50" s="2"/>
      <c r="F50" s="6">
        <f t="shared" si="12"/>
        <v>3.7382152798357713E-3</v>
      </c>
      <c r="G50" s="2"/>
      <c r="H50" s="7">
        <v>2229.875</v>
      </c>
      <c r="I50" s="2"/>
      <c r="J50" s="6">
        <f t="shared" si="13"/>
        <v>1.0000605451756708E-2</v>
      </c>
      <c r="K50" s="2"/>
      <c r="L50" s="7">
        <f t="shared" si="14"/>
        <v>-1163.4749999999999</v>
      </c>
      <c r="M50" s="2"/>
      <c r="N50" s="6">
        <f t="shared" si="15"/>
        <v>-0.52176691518582874</v>
      </c>
      <c r="O50" s="11"/>
      <c r="P50" s="7">
        <v>3199.2</v>
      </c>
      <c r="Q50" s="2"/>
      <c r="R50" s="6">
        <f t="shared" si="16"/>
        <v>3.9744539709978162E-3</v>
      </c>
      <c r="S50" s="2"/>
      <c r="T50" s="7">
        <v>7247.09375</v>
      </c>
      <c r="U50" s="2"/>
      <c r="V50" s="6">
        <f t="shared" si="17"/>
        <v>8.5095242149017484E-3</v>
      </c>
      <c r="W50" s="2"/>
      <c r="X50" s="7">
        <f t="shared" si="18"/>
        <v>-4047.8937500000002</v>
      </c>
      <c r="Y50" s="2"/>
      <c r="Z50" s="6">
        <f t="shared" si="19"/>
        <v>-0.55855407555614967</v>
      </c>
    </row>
    <row r="51" spans="1:26" s="24" customFormat="1" hidden="1" outlineLevel="2" x14ac:dyDescent="0.25">
      <c r="A51" s="29"/>
      <c r="B51" s="11" t="str">
        <f>CONCATENATE("          ", "6156", " - ", "EMPLOYEE MEALS")</f>
        <v xml:space="preserve">          6156 - EMPLOYEE MEALS</v>
      </c>
      <c r="C51" s="11"/>
      <c r="D51" s="7">
        <v>667.15</v>
      </c>
      <c r="E51" s="2"/>
      <c r="F51" s="6">
        <f t="shared" si="12"/>
        <v>2.3386630944696495E-3</v>
      </c>
      <c r="G51" s="2"/>
      <c r="H51" s="7">
        <v>875</v>
      </c>
      <c r="I51" s="2"/>
      <c r="J51" s="6">
        <f t="shared" si="13"/>
        <v>3.9242243490272407E-3</v>
      </c>
      <c r="K51" s="2"/>
      <c r="L51" s="7">
        <f t="shared" si="14"/>
        <v>-207.85000000000002</v>
      </c>
      <c r="M51" s="2"/>
      <c r="N51" s="6">
        <f t="shared" si="15"/>
        <v>-0.23754285714285717</v>
      </c>
      <c r="O51" s="11"/>
      <c r="P51" s="7">
        <v>1470.54</v>
      </c>
      <c r="Q51" s="2"/>
      <c r="R51" s="6">
        <f t="shared" si="16"/>
        <v>1.8268922050859991E-3</v>
      </c>
      <c r="S51" s="2"/>
      <c r="T51" s="7">
        <v>2625</v>
      </c>
      <c r="U51" s="2"/>
      <c r="V51" s="6">
        <f t="shared" si="17"/>
        <v>3.0822701947407663E-3</v>
      </c>
      <c r="W51" s="2"/>
      <c r="X51" s="7">
        <f t="shared" si="18"/>
        <v>-1154.46</v>
      </c>
      <c r="Y51" s="2"/>
      <c r="Z51" s="6">
        <f t="shared" si="19"/>
        <v>-0.43979428571428575</v>
      </c>
    </row>
    <row r="52" spans="1:26" s="28" customFormat="1" outlineLevel="1" collapsed="1" x14ac:dyDescent="0.25">
      <c r="A52" s="27"/>
      <c r="B52" s="14" t="str">
        <f>CONCATENATE("     ","*Payroll                                          ")</f>
        <v xml:space="preserve">     *Payroll                                          </v>
      </c>
      <c r="C52" s="14"/>
      <c r="D52" s="1">
        <f>SUM(OSRRefD22_1x_0)</f>
        <v>54230.46</v>
      </c>
      <c r="E52" s="1"/>
      <c r="F52" s="5">
        <f t="shared" ref="F52:F62" si="20">IF(D$12=0,0,D52/D$12)</f>
        <v>0.19010233890146527</v>
      </c>
      <c r="G52" s="1"/>
      <c r="H52" s="1">
        <f>SUM(OSRRefH22_1x_0)</f>
        <v>53121.75</v>
      </c>
      <c r="I52" s="1"/>
      <c r="J52" s="5">
        <f t="shared" ref="J52:J62" si="21">IF(H$12=0,0,H52/H$12)</f>
        <v>0.23824190264335751</v>
      </c>
      <c r="K52" s="1"/>
      <c r="L52" s="1">
        <f t="shared" ref="L52:L62" si="22">+D52-H52</f>
        <v>1108.7099999999991</v>
      </c>
      <c r="M52" s="1"/>
      <c r="N52" s="5">
        <f t="shared" ref="N52:N62" si="23">IF(H52=0,0,L52/H52)</f>
        <v>2.0871112115094084E-2</v>
      </c>
      <c r="O52" s="14"/>
      <c r="P52" s="1">
        <f>SUM(OSRRefP22_1x_0)</f>
        <v>167922.18999999997</v>
      </c>
      <c r="Q52" s="1"/>
      <c r="R52" s="5">
        <f t="shared" ref="R52:R62" si="24">IF(P$12=0,0,P52/P$12)</f>
        <v>0.20861434573147963</v>
      </c>
      <c r="S52" s="1"/>
      <c r="T52" s="1">
        <f>SUM(OSRRefT22_1x_0)</f>
        <v>172645.6875</v>
      </c>
      <c r="U52" s="1"/>
      <c r="V52" s="5">
        <f t="shared" ref="V52:V62" si="25">IF(T$12=0,0,T52/T$12)</f>
        <v>0.2027202502216299</v>
      </c>
      <c r="W52" s="1"/>
      <c r="X52" s="1">
        <f t="shared" ref="X52:X62" si="26">+P52-T52</f>
        <v>-4723.4975000000268</v>
      </c>
      <c r="Y52" s="1"/>
      <c r="Z52" s="5">
        <f t="shared" ref="Z52:Z62" si="27">IF(T52=0,0,X52/T52)</f>
        <v>-2.7359487331532834E-2</v>
      </c>
    </row>
    <row r="53" spans="1:26" s="24" customFormat="1" hidden="1" outlineLevel="2" x14ac:dyDescent="0.25">
      <c r="A53" s="29"/>
      <c r="B53" s="11" t="str">
        <f>CONCATENATE("          ", "6001", " - ", "ADMINISTRATIVE SALARIES")</f>
        <v xml:space="preserve">          6001 - ADMINISTRATIVE SALARIES</v>
      </c>
      <c r="C53" s="11"/>
      <c r="D53" s="7"/>
      <c r="E53" s="2"/>
      <c r="F53" s="6">
        <f t="shared" si="20"/>
        <v>0</v>
      </c>
      <c r="G53" s="2"/>
      <c r="H53" s="7">
        <v>0</v>
      </c>
      <c r="I53" s="2"/>
      <c r="J53" s="6">
        <f t="shared" si="21"/>
        <v>0</v>
      </c>
      <c r="K53" s="2"/>
      <c r="L53" s="7">
        <f t="shared" si="22"/>
        <v>0</v>
      </c>
      <c r="M53" s="2"/>
      <c r="N53" s="6">
        <f t="shared" si="23"/>
        <v>0</v>
      </c>
      <c r="O53" s="11"/>
      <c r="P53" s="7"/>
      <c r="Q53" s="2"/>
      <c r="R53" s="6">
        <f t="shared" si="24"/>
        <v>0</v>
      </c>
      <c r="S53" s="2"/>
      <c r="T53" s="7">
        <v>0</v>
      </c>
      <c r="U53" s="2"/>
      <c r="V53" s="6">
        <f t="shared" si="25"/>
        <v>0</v>
      </c>
      <c r="W53" s="2"/>
      <c r="X53" s="7">
        <f t="shared" si="26"/>
        <v>0</v>
      </c>
      <c r="Y53" s="2"/>
      <c r="Z53" s="6">
        <f t="shared" si="27"/>
        <v>0</v>
      </c>
    </row>
    <row r="54" spans="1:26" s="24" customFormat="1" hidden="1" outlineLevel="2" x14ac:dyDescent="0.25">
      <c r="A54" s="29"/>
      <c r="B54" s="11" t="str">
        <f>CONCATENATE("          ", "6002", " - ", "STAFF SALARIES")</f>
        <v xml:space="preserve">          6002 - STAFF SALARIES</v>
      </c>
      <c r="C54" s="11"/>
      <c r="D54" s="7">
        <v>16378.33</v>
      </c>
      <c r="E54" s="2"/>
      <c r="F54" s="6">
        <f t="shared" si="20"/>
        <v>5.7413469114959301E-2</v>
      </c>
      <c r="G54" s="2"/>
      <c r="H54" s="7">
        <v>12633.75</v>
      </c>
      <c r="I54" s="2"/>
      <c r="J54" s="6">
        <f t="shared" si="21"/>
        <v>5.6660193565169034E-2</v>
      </c>
      <c r="K54" s="2"/>
      <c r="L54" s="7">
        <f t="shared" si="22"/>
        <v>3744.58</v>
      </c>
      <c r="M54" s="2"/>
      <c r="N54" s="6">
        <f t="shared" si="23"/>
        <v>0.29639497378054813</v>
      </c>
      <c r="O54" s="11"/>
      <c r="P54" s="7">
        <v>48055.03</v>
      </c>
      <c r="Q54" s="2"/>
      <c r="R54" s="6">
        <f t="shared" si="24"/>
        <v>5.9700082773793191E-2</v>
      </c>
      <c r="S54" s="2"/>
      <c r="T54" s="7">
        <v>41059.6875</v>
      </c>
      <c r="U54" s="2"/>
      <c r="V54" s="6">
        <f t="shared" si="25"/>
        <v>4.8212209899664765E-2</v>
      </c>
      <c r="W54" s="2"/>
      <c r="X54" s="7">
        <f t="shared" si="26"/>
        <v>6995.3424999999988</v>
      </c>
      <c r="Y54" s="2"/>
      <c r="Z54" s="6">
        <f t="shared" si="27"/>
        <v>0.17037008623117258</v>
      </c>
    </row>
    <row r="55" spans="1:26" s="24" customFormat="1" hidden="1" outlineLevel="2" x14ac:dyDescent="0.25">
      <c r="A55" s="29"/>
      <c r="B55" s="11" t="str">
        <f>CONCATENATE("          ", "6003", " - ", "STAFF HOURLY-9 MONTH")</f>
        <v xml:space="preserve">          6003 - STAFF HOURLY-9 MONTH</v>
      </c>
      <c r="C55" s="11"/>
      <c r="D55" s="7"/>
      <c r="E55" s="2"/>
      <c r="F55" s="6">
        <f t="shared" si="20"/>
        <v>0</v>
      </c>
      <c r="G55" s="2"/>
      <c r="H55" s="7">
        <v>0</v>
      </c>
      <c r="I55" s="2"/>
      <c r="J55" s="6">
        <f t="shared" si="21"/>
        <v>0</v>
      </c>
      <c r="K55" s="2"/>
      <c r="L55" s="7">
        <f t="shared" si="22"/>
        <v>0</v>
      </c>
      <c r="M55" s="2"/>
      <c r="N55" s="6">
        <f t="shared" si="23"/>
        <v>0</v>
      </c>
      <c r="O55" s="11"/>
      <c r="P55" s="7"/>
      <c r="Q55" s="2"/>
      <c r="R55" s="6">
        <f t="shared" si="24"/>
        <v>0</v>
      </c>
      <c r="S55" s="2"/>
      <c r="T55" s="7">
        <v>0</v>
      </c>
      <c r="U55" s="2"/>
      <c r="V55" s="6">
        <f t="shared" si="25"/>
        <v>0</v>
      </c>
      <c r="W55" s="2"/>
      <c r="X55" s="7">
        <f t="shared" si="26"/>
        <v>0</v>
      </c>
      <c r="Y55" s="2"/>
      <c r="Z55" s="6">
        <f t="shared" si="27"/>
        <v>0</v>
      </c>
    </row>
    <row r="56" spans="1:26" s="24" customFormat="1" hidden="1" outlineLevel="2" x14ac:dyDescent="0.25">
      <c r="A56" s="29"/>
      <c r="B56" s="11" t="str">
        <f>CONCATENATE("          ", "6004", " - ", "STAFF HOURLY")</f>
        <v xml:space="preserve">          6004 - STAFF HOURLY</v>
      </c>
      <c r="C56" s="11"/>
      <c r="D56" s="7">
        <v>8783.39</v>
      </c>
      <c r="E56" s="2"/>
      <c r="F56" s="6">
        <f t="shared" si="20"/>
        <v>3.0789762478203964E-2</v>
      </c>
      <c r="G56" s="2"/>
      <c r="H56" s="7">
        <v>12888</v>
      </c>
      <c r="I56" s="2"/>
      <c r="J56" s="6">
        <f t="shared" si="21"/>
        <v>5.7800461040300663E-2</v>
      </c>
      <c r="K56" s="2"/>
      <c r="L56" s="7">
        <f t="shared" si="22"/>
        <v>-4104.6100000000006</v>
      </c>
      <c r="M56" s="2"/>
      <c r="N56" s="6">
        <f t="shared" si="23"/>
        <v>-0.31848308504034767</v>
      </c>
      <c r="O56" s="11"/>
      <c r="P56" s="7">
        <v>24997.119999999999</v>
      </c>
      <c r="Q56" s="2"/>
      <c r="R56" s="6">
        <f t="shared" si="24"/>
        <v>3.1054608291919517E-2</v>
      </c>
      <c r="S56" s="2"/>
      <c r="T56" s="7">
        <v>41886</v>
      </c>
      <c r="U56" s="2"/>
      <c r="V56" s="6">
        <f t="shared" si="25"/>
        <v>4.9182464524537804E-2</v>
      </c>
      <c r="W56" s="2"/>
      <c r="X56" s="7">
        <f t="shared" si="26"/>
        <v>-16888.88</v>
      </c>
      <c r="Y56" s="2"/>
      <c r="Z56" s="6">
        <f t="shared" si="27"/>
        <v>-0.40321061930000479</v>
      </c>
    </row>
    <row r="57" spans="1:26" s="24" customFormat="1" hidden="1" outlineLevel="2" x14ac:dyDescent="0.25">
      <c r="A57" s="29"/>
      <c r="B57" s="11" t="str">
        <f>CONCATENATE("          ", "6005", " - ", "TEMPORARY WAGES-HOURLY")</f>
        <v xml:space="preserve">          6005 - TEMPORARY WAGES-HOURLY</v>
      </c>
      <c r="C57" s="11"/>
      <c r="D57" s="7">
        <v>2868.78</v>
      </c>
      <c r="E57" s="2"/>
      <c r="F57" s="6">
        <f t="shared" si="20"/>
        <v>1.005637399708108E-2</v>
      </c>
      <c r="G57" s="2"/>
      <c r="H57" s="7">
        <v>0</v>
      </c>
      <c r="I57" s="2"/>
      <c r="J57" s="6">
        <f t="shared" si="21"/>
        <v>0</v>
      </c>
      <c r="K57" s="2"/>
      <c r="L57" s="7">
        <f t="shared" si="22"/>
        <v>2868.78</v>
      </c>
      <c r="M57" s="2"/>
      <c r="N57" s="6">
        <f t="shared" si="23"/>
        <v>0</v>
      </c>
      <c r="O57" s="11"/>
      <c r="P57" s="7">
        <v>7815.16</v>
      </c>
      <c r="Q57" s="2"/>
      <c r="R57" s="6">
        <f t="shared" si="24"/>
        <v>9.7089877769390136E-3</v>
      </c>
      <c r="S57" s="2"/>
      <c r="T57" s="7">
        <v>0</v>
      </c>
      <c r="U57" s="2"/>
      <c r="V57" s="6">
        <f t="shared" si="25"/>
        <v>0</v>
      </c>
      <c r="W57" s="2"/>
      <c r="X57" s="7">
        <f t="shared" si="26"/>
        <v>7815.16</v>
      </c>
      <c r="Y57" s="2"/>
      <c r="Z57" s="6">
        <f t="shared" si="27"/>
        <v>0</v>
      </c>
    </row>
    <row r="58" spans="1:26" s="24" customFormat="1" hidden="1" outlineLevel="2" x14ac:dyDescent="0.25">
      <c r="A58" s="29"/>
      <c r="B58" s="11" t="str">
        <f>CONCATENATE("          ", "6006", " - ", "TEMPORARY PART TIME")</f>
        <v xml:space="preserve">          6006 - TEMPORARY PART TIME</v>
      </c>
      <c r="C58" s="11"/>
      <c r="D58" s="7"/>
      <c r="E58" s="2"/>
      <c r="F58" s="6">
        <f t="shared" si="20"/>
        <v>0</v>
      </c>
      <c r="G58" s="2"/>
      <c r="H58" s="7">
        <v>0</v>
      </c>
      <c r="I58" s="2"/>
      <c r="J58" s="6">
        <f t="shared" si="21"/>
        <v>0</v>
      </c>
      <c r="K58" s="2"/>
      <c r="L58" s="7">
        <f t="shared" si="22"/>
        <v>0</v>
      </c>
      <c r="M58" s="2"/>
      <c r="N58" s="6">
        <f t="shared" si="23"/>
        <v>0</v>
      </c>
      <c r="O58" s="11"/>
      <c r="P58" s="7"/>
      <c r="Q58" s="2"/>
      <c r="R58" s="6">
        <f t="shared" si="24"/>
        <v>0</v>
      </c>
      <c r="S58" s="2"/>
      <c r="T58" s="7">
        <v>0</v>
      </c>
      <c r="U58" s="2"/>
      <c r="V58" s="6">
        <f t="shared" si="25"/>
        <v>0</v>
      </c>
      <c r="W58" s="2"/>
      <c r="X58" s="7">
        <f t="shared" si="26"/>
        <v>0</v>
      </c>
      <c r="Y58" s="2"/>
      <c r="Z58" s="6">
        <f t="shared" si="27"/>
        <v>0</v>
      </c>
    </row>
    <row r="59" spans="1:26" s="24" customFormat="1" hidden="1" outlineLevel="2" x14ac:dyDescent="0.25">
      <c r="A59" s="29"/>
      <c r="B59" s="11" t="str">
        <f>CONCATENATE("          ", "6007", " - ", "STUDENT HOURLY")</f>
        <v xml:space="preserve">          6007 - STUDENT HOURLY</v>
      </c>
      <c r="C59" s="11"/>
      <c r="D59" s="7">
        <v>20833.89</v>
      </c>
      <c r="E59" s="2"/>
      <c r="F59" s="6">
        <f t="shared" si="20"/>
        <v>7.3032226121922048E-2</v>
      </c>
      <c r="G59" s="2"/>
      <c r="H59" s="7">
        <v>27600</v>
      </c>
      <c r="I59" s="2"/>
      <c r="J59" s="6">
        <f t="shared" si="21"/>
        <v>0.12378124803788783</v>
      </c>
      <c r="K59" s="2"/>
      <c r="L59" s="7">
        <f t="shared" si="22"/>
        <v>-6766.1100000000006</v>
      </c>
      <c r="M59" s="2"/>
      <c r="N59" s="6">
        <f t="shared" si="23"/>
        <v>-0.24514891304347827</v>
      </c>
      <c r="O59" s="11"/>
      <c r="P59" s="7">
        <v>64993.67</v>
      </c>
      <c r="Q59" s="2"/>
      <c r="R59" s="6">
        <f t="shared" si="24"/>
        <v>8.0743420174175295E-2</v>
      </c>
      <c r="S59" s="2"/>
      <c r="T59" s="7">
        <v>27600</v>
      </c>
      <c r="U59" s="2"/>
      <c r="V59" s="6">
        <f t="shared" si="25"/>
        <v>3.2407869476131487E-2</v>
      </c>
      <c r="W59" s="2"/>
      <c r="X59" s="7">
        <f t="shared" si="26"/>
        <v>37393.67</v>
      </c>
      <c r="Y59" s="2"/>
      <c r="Z59" s="6">
        <f t="shared" si="27"/>
        <v>1.3548431159420289</v>
      </c>
    </row>
    <row r="60" spans="1:26" s="24" customFormat="1" hidden="1" outlineLevel="2" x14ac:dyDescent="0.25">
      <c r="A60" s="29"/>
      <c r="B60" s="11" t="str">
        <f>CONCATENATE("          ", "6008", " - ", "STUDENT HOURLY-FICA EXEMPT")</f>
        <v xml:space="preserve">          6008 - STUDENT HOURLY-FICA EXEMPT</v>
      </c>
      <c r="C60" s="11"/>
      <c r="D60" s="7">
        <v>5366.07</v>
      </c>
      <c r="E60" s="2"/>
      <c r="F60" s="6">
        <f t="shared" si="20"/>
        <v>1.8810507189298886E-2</v>
      </c>
      <c r="G60" s="2"/>
      <c r="H60" s="7">
        <v>0</v>
      </c>
      <c r="I60" s="2"/>
      <c r="J60" s="6">
        <f t="shared" si="21"/>
        <v>0</v>
      </c>
      <c r="K60" s="2"/>
      <c r="L60" s="7">
        <f t="shared" si="22"/>
        <v>5366.07</v>
      </c>
      <c r="M60" s="2"/>
      <c r="N60" s="6">
        <f t="shared" si="23"/>
        <v>0</v>
      </c>
      <c r="O60" s="11"/>
      <c r="P60" s="7">
        <v>22061.21</v>
      </c>
      <c r="Q60" s="2"/>
      <c r="R60" s="6">
        <f t="shared" si="24"/>
        <v>2.7407246714652639E-2</v>
      </c>
      <c r="S60" s="2"/>
      <c r="T60" s="7">
        <v>62100</v>
      </c>
      <c r="U60" s="2"/>
      <c r="V60" s="6">
        <f t="shared" si="25"/>
        <v>7.291770632129585E-2</v>
      </c>
      <c r="W60" s="2"/>
      <c r="X60" s="7">
        <f t="shared" si="26"/>
        <v>-40038.79</v>
      </c>
      <c r="Y60" s="2"/>
      <c r="Z60" s="6">
        <f t="shared" si="27"/>
        <v>-0.64474702093397751</v>
      </c>
    </row>
    <row r="61" spans="1:26" s="24" customFormat="1" hidden="1" outlineLevel="2" x14ac:dyDescent="0.25">
      <c r="A61" s="29"/>
      <c r="B61" s="11" t="str">
        <f>CONCATENATE("          ", "6009", " - ", "TEMPORARY-SEASONAL")</f>
        <v xml:space="preserve">          6009 - TEMPORARY-SEASONAL</v>
      </c>
      <c r="C61" s="11"/>
      <c r="D61" s="7"/>
      <c r="E61" s="2"/>
      <c r="F61" s="6">
        <f t="shared" si="20"/>
        <v>0</v>
      </c>
      <c r="G61" s="2"/>
      <c r="H61" s="7">
        <v>0</v>
      </c>
      <c r="I61" s="2"/>
      <c r="J61" s="6">
        <f t="shared" si="21"/>
        <v>0</v>
      </c>
      <c r="K61" s="2"/>
      <c r="L61" s="7">
        <f t="shared" si="22"/>
        <v>0</v>
      </c>
      <c r="M61" s="2"/>
      <c r="N61" s="6">
        <f t="shared" si="23"/>
        <v>0</v>
      </c>
      <c r="O61" s="11"/>
      <c r="P61" s="7"/>
      <c r="Q61" s="2"/>
      <c r="R61" s="6">
        <f t="shared" si="24"/>
        <v>0</v>
      </c>
      <c r="S61" s="2"/>
      <c r="T61" s="7">
        <v>0</v>
      </c>
      <c r="U61" s="2"/>
      <c r="V61" s="6">
        <f t="shared" si="25"/>
        <v>0</v>
      </c>
      <c r="W61" s="2"/>
      <c r="X61" s="7">
        <f t="shared" si="26"/>
        <v>0</v>
      </c>
      <c r="Y61" s="2"/>
      <c r="Z61" s="6">
        <f t="shared" si="27"/>
        <v>0</v>
      </c>
    </row>
    <row r="62" spans="1:26" s="24" customFormat="1" hidden="1" outlineLevel="2" x14ac:dyDescent="0.25">
      <c r="A62" s="29"/>
      <c r="B62" s="11" t="str">
        <f>CONCATENATE("          ", "6010", " - ", "GRATUITY")</f>
        <v xml:space="preserve">          6010 - GRATUITY</v>
      </c>
      <c r="C62" s="11"/>
      <c r="D62" s="7"/>
      <c r="E62" s="2"/>
      <c r="F62" s="6">
        <f t="shared" si="20"/>
        <v>0</v>
      </c>
      <c r="G62" s="2"/>
      <c r="H62" s="7">
        <v>0</v>
      </c>
      <c r="I62" s="2"/>
      <c r="J62" s="6">
        <f t="shared" si="21"/>
        <v>0</v>
      </c>
      <c r="K62" s="2"/>
      <c r="L62" s="7">
        <f t="shared" si="22"/>
        <v>0</v>
      </c>
      <c r="M62" s="2"/>
      <c r="N62" s="6">
        <f t="shared" si="23"/>
        <v>0</v>
      </c>
      <c r="O62" s="11"/>
      <c r="P62" s="7"/>
      <c r="Q62" s="2"/>
      <c r="R62" s="6">
        <f t="shared" si="24"/>
        <v>0</v>
      </c>
      <c r="S62" s="2"/>
      <c r="T62" s="7">
        <v>0</v>
      </c>
      <c r="U62" s="2"/>
      <c r="V62" s="6">
        <f t="shared" si="25"/>
        <v>0</v>
      </c>
      <c r="W62" s="2"/>
      <c r="X62" s="7">
        <f t="shared" si="26"/>
        <v>0</v>
      </c>
      <c r="Y62" s="2"/>
      <c r="Z62" s="6">
        <f t="shared" si="27"/>
        <v>0</v>
      </c>
    </row>
    <row r="63" spans="1:26" s="28" customFormat="1" outlineLevel="1" collapsed="1" x14ac:dyDescent="0.25">
      <c r="A63" s="27"/>
      <c r="B63" s="14" t="str">
        <f>CONCATENATE("     ","Advertising/Promo                                 ")</f>
        <v xml:space="preserve">     Advertising/Promo                                 </v>
      </c>
      <c r="C63" s="14"/>
      <c r="D63" s="1">
        <f>SUM(OSRRefD22_2x_0)</f>
        <v>110.26</v>
      </c>
      <c r="E63" s="1"/>
      <c r="F63" s="5">
        <f t="shared" ref="F63:F75" si="28">IF(D$12=0,0,D63/D$12)</f>
        <v>3.8651126852465501E-4</v>
      </c>
      <c r="G63" s="1"/>
      <c r="H63" s="1">
        <f>SUM(OSRRefH22_2x_0)</f>
        <v>50</v>
      </c>
      <c r="I63" s="1"/>
      <c r="J63" s="5">
        <f t="shared" ref="J63:J75" si="29">IF(H$12=0,0,H63/H$12)</f>
        <v>2.2424139137298518E-4</v>
      </c>
      <c r="K63" s="1"/>
      <c r="L63" s="1">
        <f t="shared" ref="L63:L75" si="30">+D63-H63</f>
        <v>60.260000000000005</v>
      </c>
      <c r="M63" s="1"/>
      <c r="N63" s="5">
        <f t="shared" ref="N63:N75" si="31">IF(H63=0,0,L63/H63)</f>
        <v>1.2052</v>
      </c>
      <c r="O63" s="14"/>
      <c r="P63" s="1">
        <f>SUM(OSRRefP22_2x_0)</f>
        <v>1377.01</v>
      </c>
      <c r="Q63" s="1"/>
      <c r="R63" s="5">
        <f t="shared" ref="R63:R75" si="32">IF(P$12=0,0,P63/P$12)</f>
        <v>1.7106973188933804E-3</v>
      </c>
      <c r="S63" s="1"/>
      <c r="T63" s="1">
        <f>SUM(OSRRefT22_2x_0)</f>
        <v>1550</v>
      </c>
      <c r="U63" s="1"/>
      <c r="V63" s="5">
        <f t="shared" ref="V63:V75" si="33">IF(T$12=0,0,T63/T$12)</f>
        <v>1.8200071626088335E-3</v>
      </c>
      <c r="W63" s="1"/>
      <c r="X63" s="1">
        <f t="shared" ref="X63:X75" si="34">+P63-T63</f>
        <v>-172.99</v>
      </c>
      <c r="Y63" s="1"/>
      <c r="Z63" s="5">
        <f t="shared" ref="Z63:Z75" si="35">IF(T63=0,0,X63/T63)</f>
        <v>-0.11160645161290324</v>
      </c>
    </row>
    <row r="64" spans="1:26" s="24" customFormat="1" hidden="1" outlineLevel="2" x14ac:dyDescent="0.25">
      <c r="A64" s="29"/>
      <c r="B64" s="11" t="str">
        <f>CONCATENATE("          ", "6362", " - ", "ADVERTISING EXPENSE")</f>
        <v xml:space="preserve">          6362 - ADVERTISING EXPENSE</v>
      </c>
      <c r="C64" s="11"/>
      <c r="D64" s="7">
        <v>110.26</v>
      </c>
      <c r="E64" s="2"/>
      <c r="F64" s="6">
        <f t="shared" si="28"/>
        <v>3.8651126852465501E-4</v>
      </c>
      <c r="G64" s="2"/>
      <c r="H64" s="7">
        <v>50</v>
      </c>
      <c r="I64" s="2"/>
      <c r="J64" s="6">
        <f t="shared" si="29"/>
        <v>2.2424139137298518E-4</v>
      </c>
      <c r="K64" s="2"/>
      <c r="L64" s="7">
        <f t="shared" si="30"/>
        <v>60.260000000000005</v>
      </c>
      <c r="M64" s="2"/>
      <c r="N64" s="6">
        <f t="shared" si="31"/>
        <v>1.2052</v>
      </c>
      <c r="O64" s="11"/>
      <c r="P64" s="7">
        <v>1377.01</v>
      </c>
      <c r="Q64" s="2"/>
      <c r="R64" s="6">
        <f t="shared" si="32"/>
        <v>1.7106973188933804E-3</v>
      </c>
      <c r="S64" s="2"/>
      <c r="T64" s="7">
        <v>1550</v>
      </c>
      <c r="U64" s="2"/>
      <c r="V64" s="6">
        <f t="shared" si="33"/>
        <v>1.8200071626088335E-3</v>
      </c>
      <c r="W64" s="2"/>
      <c r="X64" s="7">
        <f t="shared" si="34"/>
        <v>-172.99</v>
      </c>
      <c r="Y64" s="2"/>
      <c r="Z64" s="6">
        <f t="shared" si="35"/>
        <v>-0.11160645161290324</v>
      </c>
    </row>
    <row r="65" spans="1:26" s="28" customFormat="1" outlineLevel="1" collapsed="1" x14ac:dyDescent="0.25">
      <c r="A65" s="27"/>
      <c r="B65" s="14" t="str">
        <f>CONCATENATE("     ","Bad Debts/Over/Short                              ")</f>
        <v xml:space="preserve">     Bad Debts/Over/Short                              </v>
      </c>
      <c r="C65" s="14"/>
      <c r="D65" s="1">
        <f>SUM(OSRRefD22_3x_0)</f>
        <v>0</v>
      </c>
      <c r="E65" s="1"/>
      <c r="F65" s="5">
        <f t="shared" si="28"/>
        <v>0</v>
      </c>
      <c r="G65" s="1"/>
      <c r="H65" s="1">
        <f>SUM(OSRRefH22_3x_0)</f>
        <v>0</v>
      </c>
      <c r="I65" s="1"/>
      <c r="J65" s="5">
        <f t="shared" si="29"/>
        <v>0</v>
      </c>
      <c r="K65" s="1"/>
      <c r="L65" s="1">
        <f t="shared" si="30"/>
        <v>0</v>
      </c>
      <c r="M65" s="1"/>
      <c r="N65" s="5">
        <f t="shared" si="31"/>
        <v>0</v>
      </c>
      <c r="O65" s="14"/>
      <c r="P65" s="1">
        <f>SUM(OSRRefP22_3x_0)</f>
        <v>0</v>
      </c>
      <c r="Q65" s="1"/>
      <c r="R65" s="5">
        <f t="shared" si="32"/>
        <v>0</v>
      </c>
      <c r="S65" s="1"/>
      <c r="T65" s="1">
        <f>SUM(OSRRefT22_3x_0)</f>
        <v>0</v>
      </c>
      <c r="U65" s="1"/>
      <c r="V65" s="5">
        <f t="shared" si="33"/>
        <v>0</v>
      </c>
      <c r="W65" s="1"/>
      <c r="X65" s="1">
        <f t="shared" si="34"/>
        <v>0</v>
      </c>
      <c r="Y65" s="1"/>
      <c r="Z65" s="5">
        <f t="shared" si="35"/>
        <v>0</v>
      </c>
    </row>
    <row r="66" spans="1:26" s="24" customFormat="1" hidden="1" outlineLevel="2" x14ac:dyDescent="0.25">
      <c r="A66" s="29"/>
      <c r="B66" s="11" t="str">
        <f>CONCATENATE("          ", "6272", " - ", "CASH (OVER/SHORT)")</f>
        <v xml:space="preserve">          6272 - CASH (OVER/SHORT)</v>
      </c>
      <c r="C66" s="11"/>
      <c r="D66" s="7"/>
      <c r="E66" s="2"/>
      <c r="F66" s="6">
        <f t="shared" si="28"/>
        <v>0</v>
      </c>
      <c r="G66" s="2"/>
      <c r="H66" s="7">
        <v>0</v>
      </c>
      <c r="I66" s="2"/>
      <c r="J66" s="6">
        <f t="shared" si="29"/>
        <v>0</v>
      </c>
      <c r="K66" s="2"/>
      <c r="L66" s="7">
        <f t="shared" si="30"/>
        <v>0</v>
      </c>
      <c r="M66" s="2"/>
      <c r="N66" s="6">
        <f t="shared" si="31"/>
        <v>0</v>
      </c>
      <c r="O66" s="11"/>
      <c r="P66" s="7"/>
      <c r="Q66" s="2"/>
      <c r="R66" s="6">
        <f t="shared" si="32"/>
        <v>0</v>
      </c>
      <c r="S66" s="2"/>
      <c r="T66" s="7">
        <v>0</v>
      </c>
      <c r="U66" s="2"/>
      <c r="V66" s="6">
        <f t="shared" si="33"/>
        <v>0</v>
      </c>
      <c r="W66" s="2"/>
      <c r="X66" s="7">
        <f t="shared" si="34"/>
        <v>0</v>
      </c>
      <c r="Y66" s="2"/>
      <c r="Z66" s="6">
        <f t="shared" si="35"/>
        <v>0</v>
      </c>
    </row>
    <row r="67" spans="1:26" s="28" customFormat="1" outlineLevel="1" collapsed="1" x14ac:dyDescent="0.25">
      <c r="A67" s="27"/>
      <c r="B67" s="14" t="str">
        <f>CONCATENATE("     ","Bank/card Fees                                    ")</f>
        <v xml:space="preserve">     Bank/card Fees                                    </v>
      </c>
      <c r="C67" s="14"/>
      <c r="D67" s="1">
        <f>SUM(OSRRefD22_4x_0)</f>
        <v>0</v>
      </c>
      <c r="E67" s="1"/>
      <c r="F67" s="5">
        <f t="shared" si="28"/>
        <v>0</v>
      </c>
      <c r="G67" s="1"/>
      <c r="H67" s="1">
        <f>SUM(OSRRefH22_4x_0)</f>
        <v>0</v>
      </c>
      <c r="I67" s="1"/>
      <c r="J67" s="5">
        <f t="shared" si="29"/>
        <v>0</v>
      </c>
      <c r="K67" s="1"/>
      <c r="L67" s="1">
        <f t="shared" si="30"/>
        <v>0</v>
      </c>
      <c r="M67" s="1"/>
      <c r="N67" s="5">
        <f t="shared" si="31"/>
        <v>0</v>
      </c>
      <c r="O67" s="14"/>
      <c r="P67" s="1">
        <f>SUM(OSRRefP22_4x_0)</f>
        <v>0</v>
      </c>
      <c r="Q67" s="1"/>
      <c r="R67" s="5">
        <f t="shared" si="32"/>
        <v>0</v>
      </c>
      <c r="S67" s="1"/>
      <c r="T67" s="1">
        <f>SUM(OSRRefT22_4x_0)</f>
        <v>0</v>
      </c>
      <c r="U67" s="1"/>
      <c r="V67" s="5">
        <f t="shared" si="33"/>
        <v>0</v>
      </c>
      <c r="W67" s="1"/>
      <c r="X67" s="1">
        <f t="shared" si="34"/>
        <v>0</v>
      </c>
      <c r="Y67" s="1"/>
      <c r="Z67" s="5">
        <f t="shared" si="35"/>
        <v>0</v>
      </c>
    </row>
    <row r="68" spans="1:26" s="24" customFormat="1" hidden="1" outlineLevel="2" x14ac:dyDescent="0.25">
      <c r="A68" s="29"/>
      <c r="B68" s="11" t="str">
        <f>CONCATENATE("          ", "6381", " - ", "BANK/CREDIT CARD FEES")</f>
        <v xml:space="preserve">          6381 - BANK/CREDIT CARD FEES</v>
      </c>
      <c r="C68" s="11"/>
      <c r="D68" s="7"/>
      <c r="E68" s="2"/>
      <c r="F68" s="6">
        <f t="shared" si="28"/>
        <v>0</v>
      </c>
      <c r="G68" s="2"/>
      <c r="H68" s="7">
        <v>0</v>
      </c>
      <c r="I68" s="2"/>
      <c r="J68" s="6">
        <f t="shared" si="29"/>
        <v>0</v>
      </c>
      <c r="K68" s="2"/>
      <c r="L68" s="7">
        <f t="shared" si="30"/>
        <v>0</v>
      </c>
      <c r="M68" s="2"/>
      <c r="N68" s="6">
        <f t="shared" si="31"/>
        <v>0</v>
      </c>
      <c r="O68" s="11"/>
      <c r="P68" s="7"/>
      <c r="Q68" s="2"/>
      <c r="R68" s="6">
        <f t="shared" si="32"/>
        <v>0</v>
      </c>
      <c r="S68" s="2"/>
      <c r="T68" s="7">
        <v>0</v>
      </c>
      <c r="U68" s="2"/>
      <c r="V68" s="6">
        <f t="shared" si="33"/>
        <v>0</v>
      </c>
      <c r="W68" s="2"/>
      <c r="X68" s="7">
        <f t="shared" si="34"/>
        <v>0</v>
      </c>
      <c r="Y68" s="2"/>
      <c r="Z68" s="6">
        <f t="shared" si="35"/>
        <v>0</v>
      </c>
    </row>
    <row r="69" spans="1:26" s="28" customFormat="1" outlineLevel="1" collapsed="1" x14ac:dyDescent="0.25">
      <c r="A69" s="27"/>
      <c r="B69" s="14" t="str">
        <f>CONCATENATE("     ","Discounts and Markdowns                           ")</f>
        <v xml:space="preserve">     Discounts and Markdowns                           </v>
      </c>
      <c r="C69" s="14"/>
      <c r="D69" s="1">
        <f>SUM(OSRRefD22_5x_0)</f>
        <v>66.11</v>
      </c>
      <c r="E69" s="1"/>
      <c r="F69" s="5">
        <f t="shared" si="28"/>
        <v>2.3174551026813842E-4</v>
      </c>
      <c r="G69" s="1"/>
      <c r="H69" s="1">
        <f>SUM(OSRRefH22_5x_0)</f>
        <v>0</v>
      </c>
      <c r="I69" s="1"/>
      <c r="J69" s="5">
        <f t="shared" si="29"/>
        <v>0</v>
      </c>
      <c r="K69" s="1"/>
      <c r="L69" s="1">
        <f t="shared" si="30"/>
        <v>66.11</v>
      </c>
      <c r="M69" s="1"/>
      <c r="N69" s="5">
        <f t="shared" si="31"/>
        <v>0</v>
      </c>
      <c r="O69" s="14"/>
      <c r="P69" s="1">
        <f>SUM(OSRRefP22_5x_0)</f>
        <v>0</v>
      </c>
      <c r="Q69" s="1"/>
      <c r="R69" s="5">
        <f t="shared" si="32"/>
        <v>0</v>
      </c>
      <c r="S69" s="1"/>
      <c r="T69" s="1">
        <f>SUM(OSRRefT22_5x_0)</f>
        <v>0</v>
      </c>
      <c r="U69" s="1"/>
      <c r="V69" s="5">
        <f t="shared" si="33"/>
        <v>0</v>
      </c>
      <c r="W69" s="1"/>
      <c r="X69" s="1">
        <f t="shared" si="34"/>
        <v>0</v>
      </c>
      <c r="Y69" s="1"/>
      <c r="Z69" s="5">
        <f t="shared" si="35"/>
        <v>0</v>
      </c>
    </row>
    <row r="70" spans="1:26" s="24" customFormat="1" hidden="1" outlineLevel="2" x14ac:dyDescent="0.25">
      <c r="A70" s="29"/>
      <c r="B70" s="11" t="str">
        <f>CONCATENATE("          ", "9175", " - ", "EARNED DISCOUNTS")</f>
        <v xml:space="preserve">          9175 - EARNED DISCOUNTS</v>
      </c>
      <c r="C70" s="11"/>
      <c r="D70" s="7">
        <v>66.11</v>
      </c>
      <c r="E70" s="2"/>
      <c r="F70" s="6">
        <f t="shared" si="28"/>
        <v>2.3174551026813842E-4</v>
      </c>
      <c r="G70" s="2"/>
      <c r="H70" s="7"/>
      <c r="I70" s="2"/>
      <c r="J70" s="6">
        <f t="shared" si="29"/>
        <v>0</v>
      </c>
      <c r="K70" s="2"/>
      <c r="L70" s="7">
        <f t="shared" si="30"/>
        <v>66.11</v>
      </c>
      <c r="M70" s="2"/>
      <c r="N70" s="6">
        <f t="shared" si="31"/>
        <v>0</v>
      </c>
      <c r="O70" s="11"/>
      <c r="P70" s="7">
        <v>0</v>
      </c>
      <c r="Q70" s="2"/>
      <c r="R70" s="6">
        <f t="shared" si="32"/>
        <v>0</v>
      </c>
      <c r="S70" s="2"/>
      <c r="T70" s="7"/>
      <c r="U70" s="2"/>
      <c r="V70" s="6">
        <f t="shared" si="33"/>
        <v>0</v>
      </c>
      <c r="W70" s="2"/>
      <c r="X70" s="7">
        <f t="shared" si="34"/>
        <v>0</v>
      </c>
      <c r="Y70" s="2"/>
      <c r="Z70" s="6">
        <f t="shared" si="35"/>
        <v>0</v>
      </c>
    </row>
    <row r="71" spans="1:26" s="28" customFormat="1" outlineLevel="1" collapsed="1" x14ac:dyDescent="0.25">
      <c r="A71" s="27"/>
      <c r="B71" s="14" t="str">
        <f>CONCATENATE("     ","Employees' Appreciation                           ")</f>
        <v xml:space="preserve">     Employees' Appreciation                           </v>
      </c>
      <c r="C71" s="14"/>
      <c r="D71" s="1">
        <f>SUM(OSRRefD22_6x_0)</f>
        <v>0</v>
      </c>
      <c r="E71" s="1"/>
      <c r="F71" s="5">
        <f t="shared" si="28"/>
        <v>0</v>
      </c>
      <c r="G71" s="1"/>
      <c r="H71" s="1">
        <f>SUM(OSRRefH22_6x_0)</f>
        <v>50</v>
      </c>
      <c r="I71" s="1"/>
      <c r="J71" s="5">
        <f t="shared" si="29"/>
        <v>2.2424139137298518E-4</v>
      </c>
      <c r="K71" s="1"/>
      <c r="L71" s="1">
        <f t="shared" si="30"/>
        <v>-50</v>
      </c>
      <c r="M71" s="1"/>
      <c r="N71" s="5">
        <f t="shared" si="31"/>
        <v>-1</v>
      </c>
      <c r="O71" s="14"/>
      <c r="P71" s="1">
        <f>SUM(OSRRefP22_6x_0)</f>
        <v>216.44</v>
      </c>
      <c r="Q71" s="1"/>
      <c r="R71" s="5">
        <f t="shared" si="32"/>
        <v>2.6888935280156516E-4</v>
      </c>
      <c r="S71" s="1"/>
      <c r="T71" s="1">
        <f>SUM(OSRRefT22_6x_0)</f>
        <v>150</v>
      </c>
      <c r="U71" s="1"/>
      <c r="V71" s="5">
        <f t="shared" si="33"/>
        <v>1.7612972541375808E-4</v>
      </c>
      <c r="W71" s="1"/>
      <c r="X71" s="1">
        <f t="shared" si="34"/>
        <v>66.44</v>
      </c>
      <c r="Y71" s="1"/>
      <c r="Z71" s="5">
        <f t="shared" si="35"/>
        <v>0.44293333333333335</v>
      </c>
    </row>
    <row r="72" spans="1:26" s="24" customFormat="1" hidden="1" outlineLevel="2" x14ac:dyDescent="0.25">
      <c r="A72" s="29"/>
      <c r="B72" s="11" t="str">
        <f>CONCATENATE("          ", "6277", " - ", "EMPLOYEE APPRECIATION")</f>
        <v xml:space="preserve">          6277 - EMPLOYEE APPRECIATION</v>
      </c>
      <c r="C72" s="11"/>
      <c r="D72" s="7"/>
      <c r="E72" s="2"/>
      <c r="F72" s="6">
        <f t="shared" si="28"/>
        <v>0</v>
      </c>
      <c r="G72" s="2"/>
      <c r="H72" s="7">
        <v>50</v>
      </c>
      <c r="I72" s="2"/>
      <c r="J72" s="6">
        <f t="shared" si="29"/>
        <v>2.2424139137298518E-4</v>
      </c>
      <c r="K72" s="2"/>
      <c r="L72" s="7">
        <f t="shared" si="30"/>
        <v>-50</v>
      </c>
      <c r="M72" s="2"/>
      <c r="N72" s="6">
        <f t="shared" si="31"/>
        <v>-1</v>
      </c>
      <c r="O72" s="11"/>
      <c r="P72" s="7">
        <v>216.44</v>
      </c>
      <c r="Q72" s="2"/>
      <c r="R72" s="6">
        <f t="shared" si="32"/>
        <v>2.6888935280156516E-4</v>
      </c>
      <c r="S72" s="2"/>
      <c r="T72" s="7">
        <v>150</v>
      </c>
      <c r="U72" s="2"/>
      <c r="V72" s="6">
        <f t="shared" si="33"/>
        <v>1.7612972541375808E-4</v>
      </c>
      <c r="W72" s="2"/>
      <c r="X72" s="7">
        <f t="shared" si="34"/>
        <v>66.44</v>
      </c>
      <c r="Y72" s="2"/>
      <c r="Z72" s="6">
        <f t="shared" si="35"/>
        <v>0.44293333333333335</v>
      </c>
    </row>
    <row r="73" spans="1:26" s="28" customFormat="1" outlineLevel="1" collapsed="1" x14ac:dyDescent="0.25">
      <c r="A73" s="27"/>
      <c r="B73" s="14" t="str">
        <f>CONCATENATE("     ","Freight out/Postage                               ")</f>
        <v xml:space="preserve">     Freight out/Postage                               </v>
      </c>
      <c r="C73" s="14"/>
      <c r="D73" s="1">
        <f>SUM(OSRRefD22_7x_0)</f>
        <v>32.659999999999997</v>
      </c>
      <c r="E73" s="1"/>
      <c r="F73" s="5">
        <f t="shared" si="28"/>
        <v>1.1448810112475269E-4</v>
      </c>
      <c r="G73" s="1"/>
      <c r="H73" s="1">
        <f>SUM(OSRRefH22_7x_0)</f>
        <v>50</v>
      </c>
      <c r="I73" s="1"/>
      <c r="J73" s="5">
        <f t="shared" si="29"/>
        <v>2.2424139137298518E-4</v>
      </c>
      <c r="K73" s="1"/>
      <c r="L73" s="1">
        <f t="shared" si="30"/>
        <v>-17.340000000000003</v>
      </c>
      <c r="M73" s="1"/>
      <c r="N73" s="5">
        <f t="shared" si="31"/>
        <v>-0.34680000000000005</v>
      </c>
      <c r="O73" s="14"/>
      <c r="P73" s="1">
        <f>SUM(OSRRefP22_7x_0)</f>
        <v>905.94999999999993</v>
      </c>
      <c r="Q73" s="1"/>
      <c r="R73" s="5">
        <f t="shared" si="32"/>
        <v>1.125486551333293E-3</v>
      </c>
      <c r="S73" s="1"/>
      <c r="T73" s="1">
        <f>SUM(OSRRefT22_7x_0)</f>
        <v>150</v>
      </c>
      <c r="U73" s="1"/>
      <c r="V73" s="5">
        <f t="shared" si="33"/>
        <v>1.7612972541375808E-4</v>
      </c>
      <c r="W73" s="1"/>
      <c r="X73" s="1">
        <f t="shared" si="34"/>
        <v>755.94999999999993</v>
      </c>
      <c r="Y73" s="1"/>
      <c r="Z73" s="5">
        <f t="shared" si="35"/>
        <v>5.0396666666666663</v>
      </c>
    </row>
    <row r="74" spans="1:26" s="24" customFormat="1" hidden="1" outlineLevel="2" x14ac:dyDescent="0.25">
      <c r="A74" s="29"/>
      <c r="B74" s="11" t="str">
        <f>CONCATENATE("          ", "6305", " - ", "FREIGHT OUT")</f>
        <v xml:space="preserve">          6305 - FREIGHT OUT</v>
      </c>
      <c r="C74" s="11"/>
      <c r="D74" s="7">
        <v>8.66</v>
      </c>
      <c r="E74" s="2"/>
      <c r="F74" s="6">
        <f t="shared" si="28"/>
        <v>3.0357224609318995E-5</v>
      </c>
      <c r="G74" s="2"/>
      <c r="H74" s="7">
        <v>50</v>
      </c>
      <c r="I74" s="2"/>
      <c r="J74" s="6">
        <f t="shared" si="29"/>
        <v>2.2424139137298518E-4</v>
      </c>
      <c r="K74" s="2"/>
      <c r="L74" s="7">
        <f t="shared" si="30"/>
        <v>-41.34</v>
      </c>
      <c r="M74" s="2"/>
      <c r="N74" s="6">
        <f t="shared" si="31"/>
        <v>-0.82680000000000009</v>
      </c>
      <c r="O74" s="11"/>
      <c r="P74" s="7">
        <v>870.53</v>
      </c>
      <c r="Q74" s="2"/>
      <c r="R74" s="6">
        <f t="shared" si="32"/>
        <v>1.0814833131322608E-3</v>
      </c>
      <c r="S74" s="2"/>
      <c r="T74" s="7">
        <v>150</v>
      </c>
      <c r="U74" s="2"/>
      <c r="V74" s="6">
        <f t="shared" si="33"/>
        <v>1.7612972541375808E-4</v>
      </c>
      <c r="W74" s="2"/>
      <c r="X74" s="7">
        <f t="shared" si="34"/>
        <v>720.53</v>
      </c>
      <c r="Y74" s="2"/>
      <c r="Z74" s="6">
        <f t="shared" si="35"/>
        <v>4.8035333333333332</v>
      </c>
    </row>
    <row r="75" spans="1:26" s="24" customFormat="1" hidden="1" outlineLevel="2" x14ac:dyDescent="0.25">
      <c r="A75" s="29"/>
      <c r="B75" s="11" t="str">
        <f>CONCATENATE("          ", "6307", " - ", "POSTAGE")</f>
        <v xml:space="preserve">          6307 - POSTAGE</v>
      </c>
      <c r="C75" s="11"/>
      <c r="D75" s="7">
        <v>24</v>
      </c>
      <c r="E75" s="2"/>
      <c r="F75" s="6">
        <f t="shared" si="28"/>
        <v>8.4130876515433703E-5</v>
      </c>
      <c r="G75" s="2"/>
      <c r="H75" s="7"/>
      <c r="I75" s="2"/>
      <c r="J75" s="6">
        <f t="shared" si="29"/>
        <v>0</v>
      </c>
      <c r="K75" s="2"/>
      <c r="L75" s="7">
        <f t="shared" si="30"/>
        <v>24</v>
      </c>
      <c r="M75" s="2"/>
      <c r="N75" s="6">
        <f t="shared" si="31"/>
        <v>0</v>
      </c>
      <c r="O75" s="11"/>
      <c r="P75" s="7">
        <v>35.42</v>
      </c>
      <c r="Q75" s="2"/>
      <c r="R75" s="6">
        <f t="shared" si="32"/>
        <v>4.4003238201032336E-5</v>
      </c>
      <c r="S75" s="2"/>
      <c r="T75" s="7"/>
      <c r="U75" s="2"/>
      <c r="V75" s="6">
        <f t="shared" si="33"/>
        <v>0</v>
      </c>
      <c r="W75" s="2"/>
      <c r="X75" s="7">
        <f t="shared" si="34"/>
        <v>35.42</v>
      </c>
      <c r="Y75" s="2"/>
      <c r="Z75" s="6">
        <f t="shared" si="35"/>
        <v>0</v>
      </c>
    </row>
    <row r="76" spans="1:26" s="28" customFormat="1" outlineLevel="1" collapsed="1" x14ac:dyDescent="0.25">
      <c r="A76" s="27"/>
      <c r="B76" s="14" t="str">
        <f>CONCATENATE("     ","General                                           ")</f>
        <v xml:space="preserve">     General                                           </v>
      </c>
      <c r="C76" s="14"/>
      <c r="D76" s="1">
        <f>SUM(OSRRefD22_8x_0)</f>
        <v>0</v>
      </c>
      <c r="E76" s="1"/>
      <c r="F76" s="5">
        <f t="shared" ref="F76:F84" si="36">IF(D$12=0,0,D76/D$12)</f>
        <v>0</v>
      </c>
      <c r="G76" s="1"/>
      <c r="H76" s="1">
        <f>SUM(OSRRefH22_8x_0)</f>
        <v>0</v>
      </c>
      <c r="I76" s="1"/>
      <c r="J76" s="5">
        <f t="shared" ref="J76:J84" si="37">IF(H$12=0,0,H76/H$12)</f>
        <v>0</v>
      </c>
      <c r="K76" s="1"/>
      <c r="L76" s="1">
        <f t="shared" ref="L76:L84" si="38">+D76-H76</f>
        <v>0</v>
      </c>
      <c r="M76" s="1"/>
      <c r="N76" s="5">
        <f t="shared" ref="N76:N84" si="39">IF(H76=0,0,L76/H76)</f>
        <v>0</v>
      </c>
      <c r="O76" s="14"/>
      <c r="P76" s="1">
        <f>SUM(OSRRefP22_8x_0)</f>
        <v>0</v>
      </c>
      <c r="Q76" s="1"/>
      <c r="R76" s="5">
        <f t="shared" ref="R76:R84" si="40">IF(P$12=0,0,P76/P$12)</f>
        <v>0</v>
      </c>
      <c r="S76" s="1"/>
      <c r="T76" s="1">
        <f>SUM(OSRRefT22_8x_0)</f>
        <v>0</v>
      </c>
      <c r="U76" s="1"/>
      <c r="V76" s="5">
        <f t="shared" ref="V76:V84" si="41">IF(T$12=0,0,T76/T$12)</f>
        <v>0</v>
      </c>
      <c r="W76" s="1"/>
      <c r="X76" s="1">
        <f t="shared" ref="X76:X84" si="42">+P76-T76</f>
        <v>0</v>
      </c>
      <c r="Y76" s="1"/>
      <c r="Z76" s="5">
        <f t="shared" ref="Z76:Z84" si="43">IF(T76=0,0,X76/T76)</f>
        <v>0</v>
      </c>
    </row>
    <row r="77" spans="1:26" s="24" customFormat="1" hidden="1" outlineLevel="2" x14ac:dyDescent="0.25">
      <c r="A77" s="29"/>
      <c r="B77" s="11" t="str">
        <f>CONCATENATE("          ", "6279", " - ", "GENERAL EXPENSE")</f>
        <v xml:space="preserve">          6279 - GENERAL EXPENSE</v>
      </c>
      <c r="C77" s="11"/>
      <c r="D77" s="7"/>
      <c r="E77" s="2"/>
      <c r="F77" s="6">
        <f t="shared" si="36"/>
        <v>0</v>
      </c>
      <c r="G77" s="2"/>
      <c r="H77" s="7">
        <v>0</v>
      </c>
      <c r="I77" s="2"/>
      <c r="J77" s="6">
        <f t="shared" si="37"/>
        <v>0</v>
      </c>
      <c r="K77" s="2"/>
      <c r="L77" s="7">
        <f t="shared" si="38"/>
        <v>0</v>
      </c>
      <c r="M77" s="2"/>
      <c r="N77" s="6">
        <f t="shared" si="39"/>
        <v>0</v>
      </c>
      <c r="O77" s="11"/>
      <c r="P77" s="7"/>
      <c r="Q77" s="2"/>
      <c r="R77" s="6">
        <f t="shared" si="40"/>
        <v>0</v>
      </c>
      <c r="S77" s="2"/>
      <c r="T77" s="7">
        <v>0</v>
      </c>
      <c r="U77" s="2"/>
      <c r="V77" s="6">
        <f t="shared" si="41"/>
        <v>0</v>
      </c>
      <c r="W77" s="2"/>
      <c r="X77" s="7">
        <f t="shared" si="42"/>
        <v>0</v>
      </c>
      <c r="Y77" s="2"/>
      <c r="Z77" s="6">
        <f t="shared" si="43"/>
        <v>0</v>
      </c>
    </row>
    <row r="78" spans="1:26" s="28" customFormat="1" outlineLevel="1" collapsed="1" x14ac:dyDescent="0.25">
      <c r="A78" s="27"/>
      <c r="B78" s="14" t="str">
        <f>CONCATENATE("     ","Inventory Adjustment                              ")</f>
        <v xml:space="preserve">     Inventory Adjustment                              </v>
      </c>
      <c r="C78" s="14"/>
      <c r="D78" s="1">
        <f>SUM(OSRRefD22_9x_0)</f>
        <v>3350</v>
      </c>
      <c r="E78" s="1"/>
      <c r="F78" s="5">
        <f t="shared" si="36"/>
        <v>1.1743268180279287E-2</v>
      </c>
      <c r="G78" s="1"/>
      <c r="H78" s="1">
        <f>SUM(OSRRefH22_9x_0)</f>
        <v>3350</v>
      </c>
      <c r="I78" s="1"/>
      <c r="J78" s="5">
        <f t="shared" si="37"/>
        <v>1.5024173221990008E-2</v>
      </c>
      <c r="K78" s="1"/>
      <c r="L78" s="1">
        <f t="shared" si="38"/>
        <v>0</v>
      </c>
      <c r="M78" s="1"/>
      <c r="N78" s="5">
        <f t="shared" si="39"/>
        <v>0</v>
      </c>
      <c r="O78" s="14"/>
      <c r="P78" s="1">
        <f>SUM(OSRRefP22_9x_0)</f>
        <v>10050</v>
      </c>
      <c r="Q78" s="1"/>
      <c r="R78" s="5">
        <f t="shared" si="40"/>
        <v>1.2485390850377611E-2</v>
      </c>
      <c r="S78" s="1"/>
      <c r="T78" s="1">
        <f>SUM(OSRRefT22_9x_0)</f>
        <v>10050</v>
      </c>
      <c r="U78" s="1"/>
      <c r="V78" s="5">
        <f t="shared" si="41"/>
        <v>1.1800691602721791E-2</v>
      </c>
      <c r="W78" s="1"/>
      <c r="X78" s="1">
        <f t="shared" si="42"/>
        <v>0</v>
      </c>
      <c r="Y78" s="1"/>
      <c r="Z78" s="5">
        <f t="shared" si="43"/>
        <v>0</v>
      </c>
    </row>
    <row r="79" spans="1:26" s="24" customFormat="1" hidden="1" outlineLevel="2" x14ac:dyDescent="0.25">
      <c r="A79" s="29"/>
      <c r="B79" s="11" t="str">
        <f>CONCATENATE("          ", "6408", " - ", "INVENTORY ADJUSTMENT")</f>
        <v xml:space="preserve">          6408 - INVENTORY ADJUSTMENT</v>
      </c>
      <c r="C79" s="11"/>
      <c r="D79" s="7">
        <v>3350</v>
      </c>
      <c r="E79" s="2"/>
      <c r="F79" s="6">
        <f t="shared" si="36"/>
        <v>1.1743268180279287E-2</v>
      </c>
      <c r="G79" s="2"/>
      <c r="H79" s="7">
        <v>3350</v>
      </c>
      <c r="I79" s="2"/>
      <c r="J79" s="6">
        <f t="shared" si="37"/>
        <v>1.5024173221990008E-2</v>
      </c>
      <c r="K79" s="2"/>
      <c r="L79" s="7">
        <f t="shared" si="38"/>
        <v>0</v>
      </c>
      <c r="M79" s="2"/>
      <c r="N79" s="6">
        <f t="shared" si="39"/>
        <v>0</v>
      </c>
      <c r="O79" s="11"/>
      <c r="P79" s="7">
        <v>10050</v>
      </c>
      <c r="Q79" s="2"/>
      <c r="R79" s="6">
        <f t="shared" si="40"/>
        <v>1.2485390850377611E-2</v>
      </c>
      <c r="S79" s="2"/>
      <c r="T79" s="7">
        <v>10050</v>
      </c>
      <c r="U79" s="2"/>
      <c r="V79" s="6">
        <f t="shared" si="41"/>
        <v>1.1800691602721791E-2</v>
      </c>
      <c r="W79" s="2"/>
      <c r="X79" s="7">
        <f t="shared" si="42"/>
        <v>0</v>
      </c>
      <c r="Y79" s="2"/>
      <c r="Z79" s="6">
        <f t="shared" si="43"/>
        <v>0</v>
      </c>
    </row>
    <row r="80" spans="1:26" s="28" customFormat="1" outlineLevel="1" collapsed="1" x14ac:dyDescent="0.25">
      <c r="A80" s="27"/>
      <c r="B80" s="14" t="str">
        <f>CONCATENATE("     ","Professional Services                             ")</f>
        <v xml:space="preserve">     Professional Services                             </v>
      </c>
      <c r="C80" s="14"/>
      <c r="D80" s="1">
        <f>SUM(OSRRefD22_10x_0)</f>
        <v>0</v>
      </c>
      <c r="E80" s="1"/>
      <c r="F80" s="5">
        <f t="shared" si="36"/>
        <v>0</v>
      </c>
      <c r="G80" s="1"/>
      <c r="H80" s="1">
        <f>SUM(OSRRefH22_10x_0)</f>
        <v>0</v>
      </c>
      <c r="I80" s="1"/>
      <c r="J80" s="5">
        <f t="shared" si="37"/>
        <v>0</v>
      </c>
      <c r="K80" s="1"/>
      <c r="L80" s="1">
        <f t="shared" si="38"/>
        <v>0</v>
      </c>
      <c r="M80" s="1"/>
      <c r="N80" s="5">
        <f t="shared" si="39"/>
        <v>0</v>
      </c>
      <c r="O80" s="14"/>
      <c r="P80" s="1">
        <f>SUM(OSRRefP22_10x_0)</f>
        <v>0</v>
      </c>
      <c r="Q80" s="1"/>
      <c r="R80" s="5">
        <f t="shared" si="40"/>
        <v>0</v>
      </c>
      <c r="S80" s="1"/>
      <c r="T80" s="1">
        <f>SUM(OSRRefT22_10x_0)</f>
        <v>250</v>
      </c>
      <c r="U80" s="1"/>
      <c r="V80" s="5">
        <f t="shared" si="41"/>
        <v>2.9354954235626346E-4</v>
      </c>
      <c r="W80" s="1"/>
      <c r="X80" s="1">
        <f t="shared" si="42"/>
        <v>-250</v>
      </c>
      <c r="Y80" s="1"/>
      <c r="Z80" s="5">
        <f t="shared" si="43"/>
        <v>-1</v>
      </c>
    </row>
    <row r="81" spans="1:26" s="24" customFormat="1" hidden="1" outlineLevel="2" x14ac:dyDescent="0.25">
      <c r="A81" s="29"/>
      <c r="B81" s="11" t="str">
        <f>CONCATENATE("          ", "6336", " - ", "PROFESSIONAL SERVICES")</f>
        <v xml:space="preserve">          6336 - PROFESSIONAL SERVICES</v>
      </c>
      <c r="C81" s="11"/>
      <c r="D81" s="7"/>
      <c r="E81" s="2"/>
      <c r="F81" s="6">
        <f t="shared" si="36"/>
        <v>0</v>
      </c>
      <c r="G81" s="2"/>
      <c r="H81" s="7">
        <v>0</v>
      </c>
      <c r="I81" s="2"/>
      <c r="J81" s="6">
        <f t="shared" si="37"/>
        <v>0</v>
      </c>
      <c r="K81" s="2"/>
      <c r="L81" s="7">
        <f t="shared" si="38"/>
        <v>0</v>
      </c>
      <c r="M81" s="2"/>
      <c r="N81" s="6">
        <f t="shared" si="39"/>
        <v>0</v>
      </c>
      <c r="O81" s="11"/>
      <c r="P81" s="7"/>
      <c r="Q81" s="2"/>
      <c r="R81" s="6">
        <f t="shared" si="40"/>
        <v>0</v>
      </c>
      <c r="S81" s="2"/>
      <c r="T81" s="7">
        <v>250</v>
      </c>
      <c r="U81" s="2"/>
      <c r="V81" s="6">
        <f t="shared" si="41"/>
        <v>2.9354954235626346E-4</v>
      </c>
      <c r="W81" s="2"/>
      <c r="X81" s="7">
        <f t="shared" si="42"/>
        <v>-250</v>
      </c>
      <c r="Y81" s="2"/>
      <c r="Z81" s="6">
        <f t="shared" si="43"/>
        <v>-1</v>
      </c>
    </row>
    <row r="82" spans="1:26" s="28" customFormat="1" outlineLevel="1" collapsed="1" x14ac:dyDescent="0.25">
      <c r="A82" s="27"/>
      <c r="B82" s="14" t="str">
        <f>CONCATENATE("     ","Repair and Maintenance                            ")</f>
        <v xml:space="preserve">     Repair and Maintenance                            </v>
      </c>
      <c r="C82" s="14"/>
      <c r="D82" s="1">
        <f>SUM(OSRRefD22_11x_0)</f>
        <v>0</v>
      </c>
      <c r="E82" s="1"/>
      <c r="F82" s="5">
        <f t="shared" si="36"/>
        <v>0</v>
      </c>
      <c r="G82" s="1"/>
      <c r="H82" s="1">
        <f>SUM(OSRRefH22_11x_0)</f>
        <v>0</v>
      </c>
      <c r="I82" s="1"/>
      <c r="J82" s="5">
        <f t="shared" si="37"/>
        <v>0</v>
      </c>
      <c r="K82" s="1"/>
      <c r="L82" s="1">
        <f t="shared" si="38"/>
        <v>0</v>
      </c>
      <c r="M82" s="1"/>
      <c r="N82" s="5">
        <f t="shared" si="39"/>
        <v>0</v>
      </c>
      <c r="O82" s="14"/>
      <c r="P82" s="1">
        <f>SUM(OSRRefP22_11x_0)</f>
        <v>9.24</v>
      </c>
      <c r="Q82" s="1"/>
      <c r="R82" s="5">
        <f t="shared" si="40"/>
        <v>1.147910561766061E-5</v>
      </c>
      <c r="S82" s="1"/>
      <c r="T82" s="1">
        <f>SUM(OSRRefT22_11x_0)</f>
        <v>0</v>
      </c>
      <c r="U82" s="1"/>
      <c r="V82" s="5">
        <f t="shared" si="41"/>
        <v>0</v>
      </c>
      <c r="W82" s="1"/>
      <c r="X82" s="1">
        <f t="shared" si="42"/>
        <v>9.24</v>
      </c>
      <c r="Y82" s="1"/>
      <c r="Z82" s="5">
        <f t="shared" si="43"/>
        <v>0</v>
      </c>
    </row>
    <row r="83" spans="1:26" s="24" customFormat="1" hidden="1" outlineLevel="2" x14ac:dyDescent="0.25">
      <c r="A83" s="29"/>
      <c r="B83" s="11" t="str">
        <f>CONCATENATE("          ", "6373", " - ", "MAINTENANCE CONTRACTS")</f>
        <v xml:space="preserve">          6373 - MAINTENANCE CONTRACTS</v>
      </c>
      <c r="C83" s="11"/>
      <c r="D83" s="7"/>
      <c r="E83" s="2"/>
      <c r="F83" s="6">
        <f t="shared" si="36"/>
        <v>0</v>
      </c>
      <c r="G83" s="2"/>
      <c r="H83" s="7"/>
      <c r="I83" s="2"/>
      <c r="J83" s="6">
        <f t="shared" si="37"/>
        <v>0</v>
      </c>
      <c r="K83" s="2"/>
      <c r="L83" s="7">
        <f t="shared" si="38"/>
        <v>0</v>
      </c>
      <c r="M83" s="2"/>
      <c r="N83" s="6">
        <f t="shared" si="39"/>
        <v>0</v>
      </c>
      <c r="O83" s="11"/>
      <c r="P83" s="7">
        <v>5.7</v>
      </c>
      <c r="Q83" s="2"/>
      <c r="R83" s="6">
        <f t="shared" si="40"/>
        <v>7.081266452452973E-6</v>
      </c>
      <c r="S83" s="2"/>
      <c r="T83" s="7"/>
      <c r="U83" s="2"/>
      <c r="V83" s="6">
        <f t="shared" si="41"/>
        <v>0</v>
      </c>
      <c r="W83" s="2"/>
      <c r="X83" s="7">
        <f t="shared" si="42"/>
        <v>5.7</v>
      </c>
      <c r="Y83" s="2"/>
      <c r="Z83" s="6">
        <f t="shared" si="43"/>
        <v>0</v>
      </c>
    </row>
    <row r="84" spans="1:26" s="24" customFormat="1" hidden="1" outlineLevel="2" x14ac:dyDescent="0.25">
      <c r="A84" s="29"/>
      <c r="B84" s="11" t="str">
        <f>CONCATENATE("          ", "6375", " - ", "OUTSIDE REPAIRS &amp; MAINTENANCE")</f>
        <v xml:space="preserve">          6375 - OUTSIDE REPAIRS &amp; MAINTENANCE</v>
      </c>
      <c r="C84" s="11"/>
      <c r="D84" s="7"/>
      <c r="E84" s="2"/>
      <c r="F84" s="6">
        <f t="shared" si="36"/>
        <v>0</v>
      </c>
      <c r="G84" s="2"/>
      <c r="H84" s="7">
        <v>0</v>
      </c>
      <c r="I84" s="2"/>
      <c r="J84" s="6">
        <f t="shared" si="37"/>
        <v>0</v>
      </c>
      <c r="K84" s="2"/>
      <c r="L84" s="7">
        <f t="shared" si="38"/>
        <v>0</v>
      </c>
      <c r="M84" s="2"/>
      <c r="N84" s="6">
        <f t="shared" si="39"/>
        <v>0</v>
      </c>
      <c r="O84" s="11"/>
      <c r="P84" s="7">
        <v>3.54</v>
      </c>
      <c r="Q84" s="2"/>
      <c r="R84" s="6">
        <f t="shared" si="40"/>
        <v>4.3978391652076359E-6</v>
      </c>
      <c r="S84" s="2"/>
      <c r="T84" s="7">
        <v>0</v>
      </c>
      <c r="U84" s="2"/>
      <c r="V84" s="6">
        <f t="shared" si="41"/>
        <v>0</v>
      </c>
      <c r="W84" s="2"/>
      <c r="X84" s="7">
        <f t="shared" si="42"/>
        <v>3.54</v>
      </c>
      <c r="Y84" s="2"/>
      <c r="Z84" s="6">
        <f t="shared" si="43"/>
        <v>0</v>
      </c>
    </row>
    <row r="85" spans="1:26" s="28" customFormat="1" outlineLevel="1" collapsed="1" x14ac:dyDescent="0.25">
      <c r="A85" s="27"/>
      <c r="B85" s="14" t="str">
        <f>CONCATENATE("     ","Royalty &amp; Commissions                             ")</f>
        <v xml:space="preserve">     Royalty &amp; Commissions                             </v>
      </c>
      <c r="C85" s="14"/>
      <c r="D85" s="1">
        <f>SUM(OSRRefD22_12x_0)</f>
        <v>0</v>
      </c>
      <c r="E85" s="1"/>
      <c r="F85" s="5">
        <f t="shared" ref="F85:F88" si="44">IF(D$12=0,0,D85/D$12)</f>
        <v>0</v>
      </c>
      <c r="G85" s="1"/>
      <c r="H85" s="1">
        <f>SUM(OSRRefH22_12x_0)</f>
        <v>1266</v>
      </c>
      <c r="I85" s="1"/>
      <c r="J85" s="5">
        <f t="shared" ref="J85:J88" si="45">IF(H$12=0,0,H85/H$12)</f>
        <v>5.677792029563985E-3</v>
      </c>
      <c r="K85" s="1"/>
      <c r="L85" s="1">
        <f t="shared" ref="L85:L88" si="46">+D85-H85</f>
        <v>-1266</v>
      </c>
      <c r="M85" s="1"/>
      <c r="N85" s="5">
        <f t="shared" ref="N85:N88" si="47">IF(H85=0,0,L85/H85)</f>
        <v>-1</v>
      </c>
      <c r="O85" s="14"/>
      <c r="P85" s="1">
        <f>SUM(OSRRefP22_12x_0)</f>
        <v>7349.0400000000009</v>
      </c>
      <c r="Q85" s="1"/>
      <c r="R85" s="5">
        <f t="shared" ref="R85:R88" si="48">IF(P$12=0,0,P85/P$12)</f>
        <v>9.1299141069710529E-3</v>
      </c>
      <c r="S85" s="1"/>
      <c r="T85" s="1">
        <f>SUM(OSRRefT22_12x_0)</f>
        <v>9860</v>
      </c>
      <c r="U85" s="1"/>
      <c r="V85" s="5">
        <f t="shared" ref="V85:V88" si="49">IF(T$12=0,0,T85/T$12)</f>
        <v>1.1577593950531031E-2</v>
      </c>
      <c r="W85" s="1"/>
      <c r="X85" s="1">
        <f t="shared" ref="X85:X88" si="50">+P85-T85</f>
        <v>-2510.9599999999991</v>
      </c>
      <c r="Y85" s="1"/>
      <c r="Z85" s="5">
        <f t="shared" ref="Z85:Z88" si="51">IF(T85=0,0,X85/T85)</f>
        <v>-0.25466125760649078</v>
      </c>
    </row>
    <row r="86" spans="1:26" s="24" customFormat="1" hidden="1" outlineLevel="2" x14ac:dyDescent="0.25">
      <c r="A86" s="29"/>
      <c r="B86" s="11" t="str">
        <f>CONCATENATE("          ", "6252", " - ", "ROYALTY DUE CSTV")</f>
        <v xml:space="preserve">          6252 - ROYALTY DUE CSTV</v>
      </c>
      <c r="C86" s="11"/>
      <c r="D86" s="7"/>
      <c r="E86" s="2"/>
      <c r="F86" s="6">
        <f t="shared" si="44"/>
        <v>0</v>
      </c>
      <c r="G86" s="2"/>
      <c r="H86" s="7">
        <v>1266</v>
      </c>
      <c r="I86" s="2"/>
      <c r="J86" s="6">
        <f t="shared" si="45"/>
        <v>5.677792029563985E-3</v>
      </c>
      <c r="K86" s="2"/>
      <c r="L86" s="7">
        <f t="shared" si="46"/>
        <v>-1266</v>
      </c>
      <c r="M86" s="2"/>
      <c r="N86" s="6">
        <f t="shared" si="47"/>
        <v>-1</v>
      </c>
      <c r="O86" s="11"/>
      <c r="P86" s="7"/>
      <c r="Q86" s="2"/>
      <c r="R86" s="6">
        <f t="shared" si="48"/>
        <v>0</v>
      </c>
      <c r="S86" s="2"/>
      <c r="T86" s="7">
        <v>4188</v>
      </c>
      <c r="U86" s="2"/>
      <c r="V86" s="6">
        <f t="shared" si="49"/>
        <v>4.9175419335521255E-3</v>
      </c>
      <c r="W86" s="2"/>
      <c r="X86" s="7">
        <f t="shared" si="50"/>
        <v>-4188</v>
      </c>
      <c r="Y86" s="2"/>
      <c r="Z86" s="6">
        <f t="shared" si="51"/>
        <v>-1</v>
      </c>
    </row>
    <row r="87" spans="1:26" s="24" customFormat="1" hidden="1" outlineLevel="2" x14ac:dyDescent="0.25">
      <c r="A87" s="29"/>
      <c r="B87" s="11" t="str">
        <f>CONCATENATE("          ", "6253", " - ", "ROYALTY DUE ATHLETICS-LRG")</f>
        <v xml:space="preserve">          6253 - ROYALTY DUE ATHLETICS-LRG</v>
      </c>
      <c r="C87" s="11"/>
      <c r="D87" s="7"/>
      <c r="E87" s="2"/>
      <c r="F87" s="6">
        <f t="shared" si="44"/>
        <v>0</v>
      </c>
      <c r="G87" s="2"/>
      <c r="H87" s="7">
        <v>0</v>
      </c>
      <c r="I87" s="2"/>
      <c r="J87" s="6">
        <f t="shared" si="45"/>
        <v>0</v>
      </c>
      <c r="K87" s="2"/>
      <c r="L87" s="7">
        <f t="shared" si="46"/>
        <v>0</v>
      </c>
      <c r="M87" s="2"/>
      <c r="N87" s="6">
        <f t="shared" si="47"/>
        <v>0</v>
      </c>
      <c r="O87" s="11"/>
      <c r="P87" s="7">
        <v>14376.54</v>
      </c>
      <c r="Q87" s="2"/>
      <c r="R87" s="6">
        <f t="shared" si="48"/>
        <v>1.7860370246376888E-2</v>
      </c>
      <c r="S87" s="2"/>
      <c r="T87" s="7">
        <v>5672</v>
      </c>
      <c r="U87" s="2"/>
      <c r="V87" s="6">
        <f t="shared" si="49"/>
        <v>6.6600520169789058E-3</v>
      </c>
      <c r="W87" s="2"/>
      <c r="X87" s="7">
        <f t="shared" si="50"/>
        <v>8704.5400000000009</v>
      </c>
      <c r="Y87" s="2"/>
      <c r="Z87" s="6">
        <f t="shared" si="51"/>
        <v>1.5346509167842033</v>
      </c>
    </row>
    <row r="88" spans="1:26" s="24" customFormat="1" hidden="1" outlineLevel="2" x14ac:dyDescent="0.25">
      <c r="A88" s="29"/>
      <c r="B88" s="11" t="str">
        <f>CONCATENATE("          ", "6254", " - ", "ROYALTY &amp; COMMISSIONS")</f>
        <v xml:space="preserve">          6254 - ROYALTY &amp; COMMISSIONS</v>
      </c>
      <c r="C88" s="11"/>
      <c r="D88" s="7"/>
      <c r="E88" s="2"/>
      <c r="F88" s="6">
        <f t="shared" si="44"/>
        <v>0</v>
      </c>
      <c r="G88" s="2"/>
      <c r="H88" s="7">
        <v>0</v>
      </c>
      <c r="I88" s="2"/>
      <c r="J88" s="6">
        <f t="shared" si="45"/>
        <v>0</v>
      </c>
      <c r="K88" s="2"/>
      <c r="L88" s="7">
        <f t="shared" si="46"/>
        <v>0</v>
      </c>
      <c r="M88" s="2"/>
      <c r="N88" s="6">
        <f t="shared" si="47"/>
        <v>0</v>
      </c>
      <c r="O88" s="11"/>
      <c r="P88" s="7">
        <v>-7027.5</v>
      </c>
      <c r="Q88" s="2"/>
      <c r="R88" s="6">
        <f t="shared" si="48"/>
        <v>-8.7304561394058369E-3</v>
      </c>
      <c r="S88" s="2"/>
      <c r="T88" s="7">
        <v>0</v>
      </c>
      <c r="U88" s="2"/>
      <c r="V88" s="6">
        <f t="shared" si="49"/>
        <v>0</v>
      </c>
      <c r="W88" s="2"/>
      <c r="X88" s="7">
        <f t="shared" si="50"/>
        <v>-7027.5</v>
      </c>
      <c r="Y88" s="2"/>
      <c r="Z88" s="6">
        <f t="shared" si="51"/>
        <v>0</v>
      </c>
    </row>
    <row r="89" spans="1:26" s="28" customFormat="1" outlineLevel="1" collapsed="1" x14ac:dyDescent="0.25">
      <c r="A89" s="27"/>
      <c r="B89" s="14" t="str">
        <f>CONCATENATE("     ","Subscriptions &amp; Dues                              ")</f>
        <v xml:space="preserve">     Subscriptions &amp; Dues                              </v>
      </c>
      <c r="C89" s="14"/>
      <c r="D89" s="1">
        <f>SUM(OSRRefD22_13x_0)</f>
        <v>0</v>
      </c>
      <c r="E89" s="1"/>
      <c r="F89" s="5">
        <f t="shared" ref="F89:F91" si="52">IF(D$12=0,0,D89/D$12)</f>
        <v>0</v>
      </c>
      <c r="G89" s="1"/>
      <c r="H89" s="1">
        <f>SUM(OSRRefH22_13x_0)</f>
        <v>0</v>
      </c>
      <c r="I89" s="1"/>
      <c r="J89" s="5">
        <f t="shared" ref="J89:J91" si="53">IF(H$12=0,0,H89/H$12)</f>
        <v>0</v>
      </c>
      <c r="K89" s="1"/>
      <c r="L89" s="1">
        <f t="shared" ref="L89:L91" si="54">+D89-H89</f>
        <v>0</v>
      </c>
      <c r="M89" s="1"/>
      <c r="N89" s="5">
        <f t="shared" ref="N89:N91" si="55">IF(H89=0,0,L89/H89)</f>
        <v>0</v>
      </c>
      <c r="O89" s="14"/>
      <c r="P89" s="1">
        <f>SUM(OSRRefP22_13x_0)</f>
        <v>0</v>
      </c>
      <c r="Q89" s="1"/>
      <c r="R89" s="5">
        <f t="shared" ref="R89:R91" si="56">IF(P$12=0,0,P89/P$12)</f>
        <v>0</v>
      </c>
      <c r="S89" s="1"/>
      <c r="T89" s="1">
        <f>SUM(OSRRefT22_13x_0)</f>
        <v>1000</v>
      </c>
      <c r="U89" s="1"/>
      <c r="V89" s="5">
        <f t="shared" ref="V89:V91" si="57">IF(T$12=0,0,T89/T$12)</f>
        <v>1.1741981694250538E-3</v>
      </c>
      <c r="W89" s="1"/>
      <c r="X89" s="1">
        <f t="shared" ref="X89:X91" si="58">+P89-T89</f>
        <v>-1000</v>
      </c>
      <c r="Y89" s="1"/>
      <c r="Z89" s="5">
        <f t="shared" ref="Z89:Z91" si="59">IF(T89=0,0,X89/T89)</f>
        <v>-1</v>
      </c>
    </row>
    <row r="90" spans="1:26" s="24" customFormat="1" hidden="1" outlineLevel="2" x14ac:dyDescent="0.25">
      <c r="A90" s="29"/>
      <c r="B90" s="11" t="str">
        <f>CONCATENATE("          ", "6258", " - ", "MEMBERSHIP DUES")</f>
        <v xml:space="preserve">          6258 - MEMBERSHIP DUES</v>
      </c>
      <c r="C90" s="11"/>
      <c r="D90" s="7"/>
      <c r="E90" s="2"/>
      <c r="F90" s="6">
        <f t="shared" si="52"/>
        <v>0</v>
      </c>
      <c r="G90" s="2"/>
      <c r="H90" s="7">
        <v>0</v>
      </c>
      <c r="I90" s="2"/>
      <c r="J90" s="6">
        <f t="shared" si="53"/>
        <v>0</v>
      </c>
      <c r="K90" s="2"/>
      <c r="L90" s="7">
        <f t="shared" si="54"/>
        <v>0</v>
      </c>
      <c r="M90" s="2"/>
      <c r="N90" s="6">
        <f t="shared" si="55"/>
        <v>0</v>
      </c>
      <c r="O90" s="11"/>
      <c r="P90" s="7"/>
      <c r="Q90" s="2"/>
      <c r="R90" s="6">
        <f t="shared" si="56"/>
        <v>0</v>
      </c>
      <c r="S90" s="2"/>
      <c r="T90" s="7">
        <v>1000</v>
      </c>
      <c r="U90" s="2"/>
      <c r="V90" s="6">
        <f t="shared" si="57"/>
        <v>1.1741981694250538E-3</v>
      </c>
      <c r="W90" s="2"/>
      <c r="X90" s="7">
        <f t="shared" si="58"/>
        <v>-1000</v>
      </c>
      <c r="Y90" s="2"/>
      <c r="Z90" s="6">
        <f t="shared" si="59"/>
        <v>-1</v>
      </c>
    </row>
    <row r="91" spans="1:26" s="24" customFormat="1" hidden="1" outlineLevel="2" x14ac:dyDescent="0.25">
      <c r="A91" s="29"/>
      <c r="B91" s="11" t="str">
        <f>CONCATENATE("          ", "6275", " - ", "SUBSCRIPTIONS")</f>
        <v xml:space="preserve">          6275 - SUBSCRIPTIONS</v>
      </c>
      <c r="C91" s="11"/>
      <c r="D91" s="7"/>
      <c r="E91" s="2"/>
      <c r="F91" s="6">
        <f t="shared" si="52"/>
        <v>0</v>
      </c>
      <c r="G91" s="2"/>
      <c r="H91" s="7">
        <v>0</v>
      </c>
      <c r="I91" s="2"/>
      <c r="J91" s="6">
        <f t="shared" si="53"/>
        <v>0</v>
      </c>
      <c r="K91" s="2"/>
      <c r="L91" s="7">
        <f t="shared" si="54"/>
        <v>0</v>
      </c>
      <c r="M91" s="2"/>
      <c r="N91" s="6">
        <f t="shared" si="55"/>
        <v>0</v>
      </c>
      <c r="O91" s="11"/>
      <c r="P91" s="7"/>
      <c r="Q91" s="2"/>
      <c r="R91" s="6">
        <f t="shared" si="56"/>
        <v>0</v>
      </c>
      <c r="S91" s="2"/>
      <c r="T91" s="7">
        <v>0</v>
      </c>
      <c r="U91" s="2"/>
      <c r="V91" s="6">
        <f t="shared" si="57"/>
        <v>0</v>
      </c>
      <c r="W91" s="2"/>
      <c r="X91" s="7">
        <f t="shared" si="58"/>
        <v>0</v>
      </c>
      <c r="Y91" s="2"/>
      <c r="Z91" s="6">
        <f t="shared" si="59"/>
        <v>0</v>
      </c>
    </row>
    <row r="92" spans="1:26" s="28" customFormat="1" outlineLevel="1" collapsed="1" x14ac:dyDescent="0.25">
      <c r="A92" s="27"/>
      <c r="B92" s="14" t="str">
        <f>CONCATENATE("     ","Supplies                                          ")</f>
        <v xml:space="preserve">     Supplies                                          </v>
      </c>
      <c r="C92" s="14"/>
      <c r="D92" s="1">
        <f>SUM(OSRRefD22_14x_0)</f>
        <v>273.81</v>
      </c>
      <c r="E92" s="1"/>
      <c r="F92" s="5">
        <f t="shared" ref="F92:F95" si="60">IF(D$12=0,0,D92/D$12)</f>
        <v>9.5982813744545424E-4</v>
      </c>
      <c r="G92" s="1"/>
      <c r="H92" s="1">
        <f>SUM(OSRRefH22_14x_0)</f>
        <v>75</v>
      </c>
      <c r="I92" s="1"/>
      <c r="J92" s="5">
        <f t="shared" ref="J92:J95" si="61">IF(H$12=0,0,H92/H$12)</f>
        <v>3.3636208705947778E-4</v>
      </c>
      <c r="K92" s="1"/>
      <c r="L92" s="1">
        <f t="shared" ref="L92:L95" si="62">+D92-H92</f>
        <v>198.81</v>
      </c>
      <c r="M92" s="1"/>
      <c r="N92" s="5">
        <f t="shared" ref="N92:N95" si="63">IF(H92=0,0,L92/H92)</f>
        <v>2.6507999999999998</v>
      </c>
      <c r="O92" s="14"/>
      <c r="P92" s="1">
        <f>SUM(OSRRefP22_14x_0)</f>
        <v>5655.55</v>
      </c>
      <c r="Q92" s="1"/>
      <c r="R92" s="5">
        <f t="shared" ref="R92:R95" si="64">IF(P$12=0,0,P92/P$12)</f>
        <v>7.026044997398318E-3</v>
      </c>
      <c r="S92" s="1"/>
      <c r="T92" s="1">
        <f>SUM(OSRRefT22_14x_0)</f>
        <v>225</v>
      </c>
      <c r="U92" s="1"/>
      <c r="V92" s="5">
        <f t="shared" ref="V92:V95" si="65">IF(T$12=0,0,T92/T$12)</f>
        <v>2.6419458812063714E-4</v>
      </c>
      <c r="W92" s="1"/>
      <c r="X92" s="1">
        <f t="shared" ref="X92:X95" si="66">+P92-T92</f>
        <v>5430.55</v>
      </c>
      <c r="Y92" s="1"/>
      <c r="Z92" s="5">
        <f t="shared" ref="Z92:Z95" si="67">IF(T92=0,0,X92/T92)</f>
        <v>24.135777777777779</v>
      </c>
    </row>
    <row r="93" spans="1:26" s="24" customFormat="1" hidden="1" outlineLevel="2" x14ac:dyDescent="0.25">
      <c r="A93" s="29"/>
      <c r="B93" s="11" t="str">
        <f>CONCATENATE("          ", "6235", " - ", "COVID-19 EXPENSES")</f>
        <v xml:space="preserve">          6235 - COVID-19 EXPENSES</v>
      </c>
      <c r="C93" s="11"/>
      <c r="D93" s="7"/>
      <c r="E93" s="2"/>
      <c r="F93" s="6">
        <f t="shared" si="60"/>
        <v>0</v>
      </c>
      <c r="G93" s="2"/>
      <c r="H93" s="7">
        <v>0</v>
      </c>
      <c r="I93" s="2"/>
      <c r="J93" s="6">
        <f t="shared" si="61"/>
        <v>0</v>
      </c>
      <c r="K93" s="2"/>
      <c r="L93" s="7">
        <f t="shared" si="62"/>
        <v>0</v>
      </c>
      <c r="M93" s="2"/>
      <c r="N93" s="6">
        <f t="shared" si="63"/>
        <v>0</v>
      </c>
      <c r="O93" s="11"/>
      <c r="P93" s="7"/>
      <c r="Q93" s="2"/>
      <c r="R93" s="6">
        <f t="shared" si="64"/>
        <v>0</v>
      </c>
      <c r="S93" s="2"/>
      <c r="T93" s="7">
        <v>0</v>
      </c>
      <c r="U93" s="2"/>
      <c r="V93" s="6">
        <f t="shared" si="65"/>
        <v>0</v>
      </c>
      <c r="W93" s="2"/>
      <c r="X93" s="7">
        <f t="shared" si="66"/>
        <v>0</v>
      </c>
      <c r="Y93" s="2"/>
      <c r="Z93" s="6">
        <f t="shared" si="67"/>
        <v>0</v>
      </c>
    </row>
    <row r="94" spans="1:26" s="24" customFormat="1" hidden="1" outlineLevel="2" x14ac:dyDescent="0.25">
      <c r="A94" s="29"/>
      <c r="B94" s="11" t="str">
        <f>CONCATENATE("          ", "6241", " - ", "OFFICE EXPENSE")</f>
        <v xml:space="preserve">          6241 - OFFICE EXPENSE</v>
      </c>
      <c r="C94" s="11"/>
      <c r="D94" s="7">
        <v>216.5</v>
      </c>
      <c r="E94" s="2"/>
      <c r="F94" s="6">
        <f t="shared" si="60"/>
        <v>7.5893061523297481E-4</v>
      </c>
      <c r="G94" s="2"/>
      <c r="H94" s="7">
        <v>25</v>
      </c>
      <c r="I94" s="2"/>
      <c r="J94" s="6">
        <f t="shared" si="61"/>
        <v>1.1212069568649259E-4</v>
      </c>
      <c r="K94" s="2"/>
      <c r="L94" s="7">
        <f t="shared" si="62"/>
        <v>191.5</v>
      </c>
      <c r="M94" s="2"/>
      <c r="N94" s="6">
        <f t="shared" si="63"/>
        <v>7.66</v>
      </c>
      <c r="O94" s="11"/>
      <c r="P94" s="7">
        <v>397.49</v>
      </c>
      <c r="Q94" s="2"/>
      <c r="R94" s="6">
        <f t="shared" si="64"/>
        <v>4.9381273722553197E-4</v>
      </c>
      <c r="S94" s="2"/>
      <c r="T94" s="7">
        <v>75</v>
      </c>
      <c r="U94" s="2"/>
      <c r="V94" s="6">
        <f t="shared" si="65"/>
        <v>8.8064862706879041E-5</v>
      </c>
      <c r="W94" s="2"/>
      <c r="X94" s="7">
        <f t="shared" si="66"/>
        <v>322.49</v>
      </c>
      <c r="Y94" s="2"/>
      <c r="Z94" s="6">
        <f t="shared" si="67"/>
        <v>4.2998666666666665</v>
      </c>
    </row>
    <row r="95" spans="1:26" s="24" customFormat="1" hidden="1" outlineLevel="2" x14ac:dyDescent="0.25">
      <c r="A95" s="29"/>
      <c r="B95" s="11" t="str">
        <f>CONCATENATE("          ", "6247", " - ", "STORE SUPPLIES")</f>
        <v xml:space="preserve">          6247 - STORE SUPPLIES</v>
      </c>
      <c r="C95" s="11"/>
      <c r="D95" s="7">
        <v>57.31</v>
      </c>
      <c r="E95" s="2"/>
      <c r="F95" s="6">
        <f t="shared" si="60"/>
        <v>2.0089752221247941E-4</v>
      </c>
      <c r="G95" s="2"/>
      <c r="H95" s="7">
        <v>50</v>
      </c>
      <c r="I95" s="2"/>
      <c r="J95" s="6">
        <f t="shared" si="61"/>
        <v>2.2424139137298518E-4</v>
      </c>
      <c r="K95" s="2"/>
      <c r="L95" s="7">
        <f t="shared" si="62"/>
        <v>7.3100000000000023</v>
      </c>
      <c r="M95" s="2"/>
      <c r="N95" s="6">
        <f t="shared" si="63"/>
        <v>0.14620000000000005</v>
      </c>
      <c r="O95" s="11"/>
      <c r="P95" s="7">
        <v>5258.06</v>
      </c>
      <c r="Q95" s="2"/>
      <c r="R95" s="6">
        <f t="shared" si="64"/>
        <v>6.5322322601727859E-3</v>
      </c>
      <c r="S95" s="2"/>
      <c r="T95" s="7">
        <v>150</v>
      </c>
      <c r="U95" s="2"/>
      <c r="V95" s="6">
        <f t="shared" si="65"/>
        <v>1.7612972541375808E-4</v>
      </c>
      <c r="W95" s="2"/>
      <c r="X95" s="7">
        <f t="shared" si="66"/>
        <v>5108.0600000000004</v>
      </c>
      <c r="Y95" s="2"/>
      <c r="Z95" s="6">
        <f t="shared" si="67"/>
        <v>34.053733333333334</v>
      </c>
    </row>
    <row r="96" spans="1:26" s="28" customFormat="1" outlineLevel="1" collapsed="1" x14ac:dyDescent="0.25">
      <c r="A96" s="27"/>
      <c r="B96" s="14" t="str">
        <f>CONCATENATE("     ","Telephone/Data Lines                              ")</f>
        <v xml:space="preserve">     Telephone/Data Lines                              </v>
      </c>
      <c r="C96" s="14"/>
      <c r="D96" s="1">
        <f>SUM(OSRRefD22_15x_0)</f>
        <v>256.64999999999998</v>
      </c>
      <c r="E96" s="1"/>
      <c r="F96" s="5">
        <f t="shared" ref="F96:F99" si="68">IF(D$12=0,0,D96/D$12)</f>
        <v>8.9967456073691908E-4</v>
      </c>
      <c r="G96" s="1"/>
      <c r="H96" s="1">
        <f>SUM(OSRRefH22_15x_0)</f>
        <v>300</v>
      </c>
      <c r="I96" s="1"/>
      <c r="J96" s="5">
        <f t="shared" ref="J96:J99" si="69">IF(H$12=0,0,H96/H$12)</f>
        <v>1.3454483482379111E-3</v>
      </c>
      <c r="K96" s="1"/>
      <c r="L96" s="1">
        <f t="shared" ref="L96:L99" si="70">+D96-H96</f>
        <v>-43.350000000000023</v>
      </c>
      <c r="M96" s="1"/>
      <c r="N96" s="5">
        <f t="shared" ref="N96:N99" si="71">IF(H96=0,0,L96/H96)</f>
        <v>-0.14450000000000007</v>
      </c>
      <c r="O96" s="14"/>
      <c r="P96" s="1">
        <f>SUM(OSRRefP22_15x_0)</f>
        <v>385.15</v>
      </c>
      <c r="Q96" s="1"/>
      <c r="R96" s="5">
        <f t="shared" ref="R96:R99" si="72">IF(P$12=0,0,P96/P$12)</f>
        <v>4.7848241651969516E-4</v>
      </c>
      <c r="S96" s="1"/>
      <c r="T96" s="1">
        <f>SUM(OSRRefT22_15x_0)</f>
        <v>900</v>
      </c>
      <c r="U96" s="1"/>
      <c r="V96" s="5">
        <f t="shared" ref="V96:V99" si="73">IF(T$12=0,0,T96/T$12)</f>
        <v>1.0567783524825485E-3</v>
      </c>
      <c r="W96" s="1"/>
      <c r="X96" s="1">
        <f t="shared" ref="X96:X99" si="74">+P96-T96</f>
        <v>-514.85</v>
      </c>
      <c r="Y96" s="1"/>
      <c r="Z96" s="5">
        <f t="shared" ref="Z96:Z99" si="75">IF(T96=0,0,X96/T96)</f>
        <v>-0.57205555555555554</v>
      </c>
    </row>
    <row r="97" spans="1:26" s="24" customFormat="1" hidden="1" outlineLevel="2" x14ac:dyDescent="0.25">
      <c r="A97" s="29"/>
      <c r="B97" s="11" t="str">
        <f>CONCATENATE("          ", "6309", " - ", "TELEPHONE")</f>
        <v xml:space="preserve">          6309 - TELEPHONE</v>
      </c>
      <c r="C97" s="11"/>
      <c r="D97" s="7">
        <v>256.64999999999998</v>
      </c>
      <c r="E97" s="2"/>
      <c r="F97" s="6">
        <f t="shared" si="68"/>
        <v>8.9967456073691908E-4</v>
      </c>
      <c r="G97" s="2"/>
      <c r="H97" s="7">
        <v>300</v>
      </c>
      <c r="I97" s="2"/>
      <c r="J97" s="6">
        <f t="shared" si="69"/>
        <v>1.3454483482379111E-3</v>
      </c>
      <c r="K97" s="2"/>
      <c r="L97" s="7">
        <f t="shared" si="70"/>
        <v>-43.350000000000023</v>
      </c>
      <c r="M97" s="2"/>
      <c r="N97" s="6">
        <f t="shared" si="71"/>
        <v>-0.14450000000000007</v>
      </c>
      <c r="O97" s="11"/>
      <c r="P97" s="7">
        <v>385.15</v>
      </c>
      <c r="Q97" s="2"/>
      <c r="R97" s="6">
        <f t="shared" si="72"/>
        <v>4.7848241651969516E-4</v>
      </c>
      <c r="S97" s="2"/>
      <c r="T97" s="7">
        <v>900</v>
      </c>
      <c r="U97" s="2"/>
      <c r="V97" s="6">
        <f t="shared" si="73"/>
        <v>1.0567783524825485E-3</v>
      </c>
      <c r="W97" s="2"/>
      <c r="X97" s="7">
        <f t="shared" si="74"/>
        <v>-514.85</v>
      </c>
      <c r="Y97" s="2"/>
      <c r="Z97" s="6">
        <f t="shared" si="75"/>
        <v>-0.57205555555555554</v>
      </c>
    </row>
    <row r="98" spans="1:26" s="28" customFormat="1" outlineLevel="1" collapsed="1" x14ac:dyDescent="0.25">
      <c r="A98" s="27"/>
      <c r="B98" s="14" t="str">
        <f>CONCATENATE("     ","Travel                                            ")</f>
        <v xml:space="preserve">     Travel                                            </v>
      </c>
      <c r="C98" s="14"/>
      <c r="D98" s="1">
        <f>SUM(OSRRefD22_16x_0)</f>
        <v>0</v>
      </c>
      <c r="E98" s="1"/>
      <c r="F98" s="5">
        <f t="shared" si="68"/>
        <v>0</v>
      </c>
      <c r="G98" s="1"/>
      <c r="H98" s="1">
        <f>SUM(OSRRefH22_16x_0)</f>
        <v>25</v>
      </c>
      <c r="I98" s="1"/>
      <c r="J98" s="5">
        <f t="shared" si="69"/>
        <v>1.1212069568649259E-4</v>
      </c>
      <c r="K98" s="1"/>
      <c r="L98" s="1">
        <f t="shared" si="70"/>
        <v>-25</v>
      </c>
      <c r="M98" s="1"/>
      <c r="N98" s="5">
        <f t="shared" si="71"/>
        <v>-1</v>
      </c>
      <c r="O98" s="14"/>
      <c r="P98" s="1">
        <f>SUM(OSRRefP22_16x_0)</f>
        <v>40.32</v>
      </c>
      <c r="Q98" s="1"/>
      <c r="R98" s="5">
        <f t="shared" si="72"/>
        <v>5.0090642695246296E-5</v>
      </c>
      <c r="S98" s="1"/>
      <c r="T98" s="1">
        <f>SUM(OSRRefT22_16x_0)</f>
        <v>75</v>
      </c>
      <c r="U98" s="1"/>
      <c r="V98" s="5">
        <f t="shared" si="73"/>
        <v>8.8064862706879041E-5</v>
      </c>
      <c r="W98" s="1"/>
      <c r="X98" s="1">
        <f t="shared" si="74"/>
        <v>-34.68</v>
      </c>
      <c r="Y98" s="1"/>
      <c r="Z98" s="5">
        <f t="shared" si="75"/>
        <v>-0.46239999999999998</v>
      </c>
    </row>
    <row r="99" spans="1:26" s="24" customFormat="1" hidden="1" outlineLevel="2" x14ac:dyDescent="0.25">
      <c r="A99" s="29"/>
      <c r="B99" s="11" t="str">
        <f>CONCATENATE("          ", "6294", " - ", "TRAVEL OPERATIONAL")</f>
        <v xml:space="preserve">          6294 - TRAVEL OPERATIONAL</v>
      </c>
      <c r="C99" s="11"/>
      <c r="D99" s="7"/>
      <c r="E99" s="2"/>
      <c r="F99" s="6">
        <f t="shared" si="68"/>
        <v>0</v>
      </c>
      <c r="G99" s="2"/>
      <c r="H99" s="7">
        <v>25</v>
      </c>
      <c r="I99" s="2"/>
      <c r="J99" s="6">
        <f t="shared" si="69"/>
        <v>1.1212069568649259E-4</v>
      </c>
      <c r="K99" s="2"/>
      <c r="L99" s="7">
        <f t="shared" si="70"/>
        <v>-25</v>
      </c>
      <c r="M99" s="2"/>
      <c r="N99" s="6">
        <f t="shared" si="71"/>
        <v>-1</v>
      </c>
      <c r="O99" s="11"/>
      <c r="P99" s="7">
        <v>40.32</v>
      </c>
      <c r="Q99" s="2"/>
      <c r="R99" s="6">
        <f t="shared" si="72"/>
        <v>5.0090642695246296E-5</v>
      </c>
      <c r="S99" s="2"/>
      <c r="T99" s="7">
        <v>75</v>
      </c>
      <c r="U99" s="2"/>
      <c r="V99" s="6">
        <f t="shared" si="73"/>
        <v>8.8064862706879041E-5</v>
      </c>
      <c r="W99" s="2"/>
      <c r="X99" s="7">
        <f t="shared" si="74"/>
        <v>-34.68</v>
      </c>
      <c r="Y99" s="2"/>
      <c r="Z99" s="6">
        <f t="shared" si="75"/>
        <v>-0.46239999999999998</v>
      </c>
    </row>
    <row r="100" spans="1:26" s="58" customFormat="1" x14ac:dyDescent="0.25">
      <c r="A100" s="36"/>
      <c r="B100" s="36"/>
      <c r="C100" s="36"/>
      <c r="D100" s="1"/>
      <c r="E100" s="1"/>
      <c r="F100" s="5"/>
      <c r="G100" s="1"/>
      <c r="H100" s="1"/>
      <c r="I100" s="1"/>
      <c r="J100" s="5"/>
      <c r="K100" s="1"/>
      <c r="L100" s="1"/>
      <c r="M100" s="1"/>
      <c r="N100" s="5"/>
      <c r="O100" s="36"/>
      <c r="P100" s="1"/>
      <c r="Q100" s="1"/>
      <c r="R100" s="5"/>
      <c r="S100" s="1"/>
      <c r="T100" s="1"/>
      <c r="U100" s="1"/>
      <c r="V100" s="5"/>
      <c r="W100" s="1"/>
      <c r="X100" s="1"/>
      <c r="Y100" s="1"/>
      <c r="Z100" s="5"/>
    </row>
    <row r="101" spans="1:26" s="23" customFormat="1" collapsed="1" x14ac:dyDescent="0.25">
      <c r="A101" s="10"/>
      <c r="B101" s="26" t="s">
        <v>293</v>
      </c>
      <c r="C101" s="10"/>
      <c r="D101" s="4">
        <f>SUM(OSRRefD25x_0)</f>
        <v>-308.7</v>
      </c>
      <c r="E101" s="4"/>
      <c r="F101" s="12">
        <f t="shared" ref="F101:F104" si="76">IF(D$12=0,0,D101/D$12)</f>
        <v>-1.0821333991797659E-3</v>
      </c>
      <c r="G101" s="4"/>
      <c r="H101" s="4">
        <f>SUM(OSRRefH25x_0)</f>
        <v>0</v>
      </c>
      <c r="I101" s="4"/>
      <c r="J101" s="12">
        <f t="shared" ref="J101:J104" si="77">IF(H$12=0,0,H101/H$12)</f>
        <v>0</v>
      </c>
      <c r="K101" s="4"/>
      <c r="L101" s="4">
        <f t="shared" ref="L101:L104" si="78">+D101-H101</f>
        <v>-308.7</v>
      </c>
      <c r="M101" s="4"/>
      <c r="N101" s="12">
        <f t="shared" ref="N101:N104" si="79">IF(H101=0,0,L101/H101)</f>
        <v>0</v>
      </c>
      <c r="O101" s="10"/>
      <c r="P101" s="4">
        <f>SUM(OSRRefP25x_0)</f>
        <v>91764.32</v>
      </c>
      <c r="Q101" s="4"/>
      <c r="R101" s="12">
        <f t="shared" ref="R101:R104" si="80">IF(P$12=0,0,P101/P$12)</f>
        <v>0.11400133346458938</v>
      </c>
      <c r="S101" s="4"/>
      <c r="T101" s="4">
        <f>SUM(OSRRefT25x_0)</f>
        <v>11344</v>
      </c>
      <c r="U101" s="4"/>
      <c r="V101" s="12">
        <f t="shared" ref="V101:V104" si="81">IF(T$12=0,0,T101/T$12)</f>
        <v>1.3320104033957812E-2</v>
      </c>
      <c r="W101" s="4"/>
      <c r="X101" s="4">
        <f t="shared" ref="X101:X104" si="82">+P101-T101</f>
        <v>80420.320000000007</v>
      </c>
      <c r="Y101" s="4"/>
      <c r="Z101" s="12">
        <f t="shared" ref="Z101:Z104" si="83">IF(T101=0,0,X101/T101)</f>
        <v>7.0892383638928074</v>
      </c>
    </row>
    <row r="102" spans="1:26" s="24" customFormat="1" hidden="1" outlineLevel="1" x14ac:dyDescent="0.25">
      <c r="A102" s="44"/>
      <c r="B102" s="11" t="str">
        <f>CONCATENATE("          ", "9150", " - ", "MISC. INCOME")</f>
        <v xml:space="preserve">          9150 - MISC. INCOME</v>
      </c>
      <c r="C102" s="11"/>
      <c r="D102" s="2">
        <f t="shared" ref="D102:D103" si="84">0</f>
        <v>0</v>
      </c>
      <c r="E102" s="2"/>
      <c r="F102" s="19">
        <f t="shared" si="76"/>
        <v>0</v>
      </c>
      <c r="G102" s="2"/>
      <c r="H102" s="2">
        <v>0</v>
      </c>
      <c r="I102" s="2"/>
      <c r="J102" s="19">
        <f t="shared" si="77"/>
        <v>0</v>
      </c>
      <c r="K102" s="2"/>
      <c r="L102" s="2">
        <f t="shared" si="78"/>
        <v>0</v>
      </c>
      <c r="M102" s="2"/>
      <c r="N102" s="19">
        <f t="shared" si="79"/>
        <v>0</v>
      </c>
      <c r="O102" s="11"/>
      <c r="P102" s="2">
        <f>--28753.08</f>
        <v>28753.08</v>
      </c>
      <c r="Q102" s="2"/>
      <c r="R102" s="19">
        <f t="shared" si="80"/>
        <v>3.5720740492753776E-2</v>
      </c>
      <c r="S102" s="2"/>
      <c r="T102" s="2">
        <v>11344</v>
      </c>
      <c r="U102" s="2"/>
      <c r="V102" s="19">
        <f t="shared" si="81"/>
        <v>1.3320104033957812E-2</v>
      </c>
      <c r="W102" s="2"/>
      <c r="X102" s="2">
        <f t="shared" si="82"/>
        <v>17409.080000000002</v>
      </c>
      <c r="Y102" s="2"/>
      <c r="Z102" s="19">
        <f t="shared" si="83"/>
        <v>1.5346509167842033</v>
      </c>
    </row>
    <row r="103" spans="1:26" s="24" customFormat="1" hidden="1" outlineLevel="1" x14ac:dyDescent="0.25">
      <c r="A103" s="44"/>
      <c r="B103" s="11" t="str">
        <f>CONCATENATE("          ", "9160", " - ", "MISC. INCOME")</f>
        <v xml:space="preserve">          9160 - MISC. INCOME</v>
      </c>
      <c r="C103" s="11"/>
      <c r="D103" s="2">
        <f t="shared" si="84"/>
        <v>0</v>
      </c>
      <c r="E103" s="2"/>
      <c r="F103" s="19">
        <f t="shared" si="76"/>
        <v>0</v>
      </c>
      <c r="G103" s="2"/>
      <c r="H103" s="2"/>
      <c r="I103" s="2"/>
      <c r="J103" s="19">
        <f t="shared" si="77"/>
        <v>0</v>
      </c>
      <c r="K103" s="2"/>
      <c r="L103" s="2">
        <f t="shared" si="78"/>
        <v>0</v>
      </c>
      <c r="M103" s="2"/>
      <c r="N103" s="19">
        <f t="shared" si="79"/>
        <v>0</v>
      </c>
      <c r="O103" s="11"/>
      <c r="P103" s="2">
        <f>0</f>
        <v>0</v>
      </c>
      <c r="Q103" s="2"/>
      <c r="R103" s="19">
        <f t="shared" si="80"/>
        <v>0</v>
      </c>
      <c r="S103" s="2"/>
      <c r="T103" s="2">
        <v>0</v>
      </c>
      <c r="U103" s="2"/>
      <c r="V103" s="19">
        <f t="shared" si="81"/>
        <v>0</v>
      </c>
      <c r="W103" s="2"/>
      <c r="X103" s="2">
        <f t="shared" si="82"/>
        <v>0</v>
      </c>
      <c r="Y103" s="2"/>
      <c r="Z103" s="19">
        <f t="shared" si="83"/>
        <v>0</v>
      </c>
    </row>
    <row r="104" spans="1:26" s="24" customFormat="1" hidden="1" outlineLevel="1" x14ac:dyDescent="0.25">
      <c r="A104" s="44"/>
      <c r="B104" s="11" t="str">
        <f>CONCATENATE("          ", "9163", " - ", "MISC. INCOME")</f>
        <v xml:space="preserve">          9163 - MISC. INCOME</v>
      </c>
      <c r="C104" s="11"/>
      <c r="D104" s="2">
        <f>-308.7</f>
        <v>-308.7</v>
      </c>
      <c r="E104" s="2"/>
      <c r="F104" s="19">
        <f t="shared" si="76"/>
        <v>-1.0821333991797659E-3</v>
      </c>
      <c r="G104" s="2"/>
      <c r="H104" s="2"/>
      <c r="I104" s="2"/>
      <c r="J104" s="19">
        <f t="shared" si="77"/>
        <v>0</v>
      </c>
      <c r="K104" s="2"/>
      <c r="L104" s="2">
        <f t="shared" si="78"/>
        <v>-308.7</v>
      </c>
      <c r="M104" s="2"/>
      <c r="N104" s="19">
        <f t="shared" si="79"/>
        <v>0</v>
      </c>
      <c r="O104" s="11"/>
      <c r="P104" s="2">
        <f>--63011.24</f>
        <v>63011.24</v>
      </c>
      <c r="Q104" s="2"/>
      <c r="R104" s="19">
        <f t="shared" si="80"/>
        <v>7.8280592971835594E-2</v>
      </c>
      <c r="S104" s="2"/>
      <c r="T104" s="2"/>
      <c r="U104" s="2"/>
      <c r="V104" s="19">
        <f t="shared" si="81"/>
        <v>0</v>
      </c>
      <c r="W104" s="2"/>
      <c r="X104" s="2">
        <f t="shared" si="82"/>
        <v>63011.24</v>
      </c>
      <c r="Y104" s="2"/>
      <c r="Z104" s="19">
        <f t="shared" si="83"/>
        <v>0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10"/>
      <c r="B106" s="25" t="s">
        <v>277</v>
      </c>
      <c r="C106" s="25"/>
      <c r="D106" s="21">
        <f>+D39-D41+D101</f>
        <v>80155.320000000022</v>
      </c>
      <c r="E106" s="13"/>
      <c r="F106" s="20">
        <f>IF(D$12=0,0,D106/D$12)</f>
        <v>0.28098072204062813</v>
      </c>
      <c r="G106" s="13"/>
      <c r="H106" s="21">
        <f>+H39-H41+H101</f>
        <v>36853.130298076925</v>
      </c>
      <c r="I106" s="13"/>
      <c r="J106" s="20">
        <f>IF(H$12=0,0,H106/H$12)</f>
        <v>0.16527994428981371</v>
      </c>
      <c r="K106" s="16"/>
      <c r="L106" s="21">
        <f>+D106-H106</f>
        <v>43302.189701923096</v>
      </c>
      <c r="M106" s="16"/>
      <c r="N106" s="20">
        <f>IF(H106=0,0,L106/H106)</f>
        <v>1.1749935311243478</v>
      </c>
      <c r="O106" s="26"/>
      <c r="P106" s="21">
        <f>+P39-P41+P101</f>
        <v>299865.41000000003</v>
      </c>
      <c r="Q106" s="13"/>
      <c r="R106" s="20">
        <f>IF(P$12=0,0,P106/P$12)</f>
        <v>0.37253102948843098</v>
      </c>
      <c r="S106" s="13"/>
      <c r="T106" s="21">
        <f>+T39-T41+T101</f>
        <v>156592.81146875001</v>
      </c>
      <c r="U106" s="13"/>
      <c r="V106" s="20">
        <f>IF(T$12=0,0,T106/T$12)</f>
        <v>0.18387099257172884</v>
      </c>
      <c r="W106" s="16"/>
      <c r="X106" s="21">
        <f>+P106-T106</f>
        <v>143272.59853125003</v>
      </c>
      <c r="Y106" s="16"/>
      <c r="Z106" s="20">
        <f>IF(T106=0,0,X106/T106)</f>
        <v>0.91493726428075406</v>
      </c>
    </row>
    <row r="107" spans="1:26" x14ac:dyDescent="0.25">
      <c r="A107" s="9"/>
      <c r="B107" s="10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52"/>
      <c r="B108" s="10" t="s">
        <v>128</v>
      </c>
      <c r="C108" s="10"/>
      <c r="D108" s="4">
        <v>21976.04</v>
      </c>
      <c r="E108" s="4"/>
      <c r="F108" s="12">
        <f>IF(D$12=0,0,D108/D$12)</f>
        <v>7.7035979480759659E-2</v>
      </c>
      <c r="G108" s="4"/>
      <c r="H108" s="4">
        <v>22068</v>
      </c>
      <c r="I108" s="4"/>
      <c r="J108" s="12">
        <f>IF(H$12=0,0,H108/H$12)</f>
        <v>9.8971180496380748E-2</v>
      </c>
      <c r="K108" s="4"/>
      <c r="L108" s="4">
        <f>+D108-H108</f>
        <v>-91.959999999999127</v>
      </c>
      <c r="M108" s="4"/>
      <c r="N108" s="12">
        <f>IF(H108=0,0,L108/H108)</f>
        <v>-4.1671198114917136E-3</v>
      </c>
      <c r="O108" s="10"/>
      <c r="P108" s="4">
        <v>99632.05</v>
      </c>
      <c r="Q108" s="4"/>
      <c r="R108" s="12">
        <f>IF(P$12=0,0,P108/P$12)</f>
        <v>0.12377563039545916</v>
      </c>
      <c r="S108" s="4"/>
      <c r="T108" s="4">
        <v>92476</v>
      </c>
      <c r="U108" s="4"/>
      <c r="V108" s="12">
        <f>IF(T$12=0,0,T108/T$12)</f>
        <v>0.10858514991575129</v>
      </c>
      <c r="W108" s="4"/>
      <c r="X108" s="4">
        <f>+P108-T108</f>
        <v>7156.0500000000029</v>
      </c>
      <c r="Y108" s="4"/>
      <c r="Z108" s="12">
        <f>IF(T108=0,0,X108/T108)</f>
        <v>7.7382780397076023E-2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5" t="s">
        <v>126</v>
      </c>
      <c r="C110" s="25"/>
      <c r="D110" s="33">
        <f>+D106-D108</f>
        <v>58179.280000000021</v>
      </c>
      <c r="E110" s="13"/>
      <c r="F110" s="31">
        <f>IF(D$12=0,0,D110/D$12)</f>
        <v>0.20394474255986847</v>
      </c>
      <c r="G110" s="13"/>
      <c r="H110" s="33">
        <f>+H106-H108</f>
        <v>14785.130298076925</v>
      </c>
      <c r="I110" s="13"/>
      <c r="J110" s="31">
        <f>IF(H$12=0,0,H110/H$12)</f>
        <v>6.6308763793432979E-2</v>
      </c>
      <c r="K110" s="16"/>
      <c r="L110" s="33">
        <f>D110-H110</f>
        <v>43394.149701923096</v>
      </c>
      <c r="M110" s="16"/>
      <c r="N110" s="31">
        <f>IF(H110=0,0,L110/H110)</f>
        <v>2.9349859505510949</v>
      </c>
      <c r="O110" s="26"/>
      <c r="P110" s="33">
        <f>+P106-P108</f>
        <v>200233.36000000004</v>
      </c>
      <c r="Q110" s="13"/>
      <c r="R110" s="31">
        <f>IF(P$12=0,0,P110/P$12)</f>
        <v>0.24875539909297181</v>
      </c>
      <c r="S110" s="13"/>
      <c r="T110" s="33">
        <f>+T106-T108</f>
        <v>64116.811468750006</v>
      </c>
      <c r="U110" s="13"/>
      <c r="V110" s="31">
        <f>IF(T$12=0,0,T110/T$12)</f>
        <v>7.5285842655977556E-2</v>
      </c>
      <c r="W110" s="16"/>
      <c r="X110" s="33">
        <f>P110-T110</f>
        <v>136116.54853125004</v>
      </c>
      <c r="Y110" s="16"/>
      <c r="Z110" s="31">
        <f>IF(T110=0,0,X110/T110)</f>
        <v>2.1229463133485997</v>
      </c>
    </row>
    <row r="111" spans="1:26" ht="15.75" thickTop="1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5" t="s">
        <v>294</v>
      </c>
      <c r="C113" s="25"/>
      <c r="D113" s="35">
        <f>SUM(D110:D112)</f>
        <v>58179.280000000021</v>
      </c>
      <c r="E113" s="13"/>
      <c r="F113" s="34">
        <f>IF(D$12=0,0,D113/D$12)</f>
        <v>0.20394474255986847</v>
      </c>
      <c r="G113" s="13"/>
      <c r="H113" s="35">
        <f>SUM(H110:H112)</f>
        <v>14785.130298076925</v>
      </c>
      <c r="I113" s="13"/>
      <c r="J113" s="34">
        <f>IF(H$12=0,0,H113/H$12)</f>
        <v>6.6308763793432979E-2</v>
      </c>
      <c r="K113" s="16"/>
      <c r="L113" s="35">
        <f>+D113-H113</f>
        <v>43394.149701923096</v>
      </c>
      <c r="M113" s="16"/>
      <c r="N113" s="34">
        <f>IF(H113=0,0,L113/H113)</f>
        <v>2.9349859505510949</v>
      </c>
      <c r="O113" s="26"/>
      <c r="P113" s="35">
        <f>SUM(P110:P112)</f>
        <v>200233.36000000004</v>
      </c>
      <c r="Q113" s="13"/>
      <c r="R113" s="34">
        <f>IF(P$12=0,0,P113/P$12)</f>
        <v>0.24875539909297181</v>
      </c>
      <c r="S113" s="13"/>
      <c r="T113" s="35">
        <f>SUM(T110:T112)</f>
        <v>64116.811468750006</v>
      </c>
      <c r="U113" s="13"/>
      <c r="V113" s="34">
        <f>IF(T$12=0,0,T113/T$12)</f>
        <v>7.5285842655977556E-2</v>
      </c>
      <c r="W113" s="16"/>
      <c r="X113" s="35">
        <f>+P113-T113</f>
        <v>136116.54853125004</v>
      </c>
      <c r="Y113" s="16"/>
      <c r="Z113" s="34">
        <f>IF(T113=0,0,X113/T113)</f>
        <v>2.1229463133485997</v>
      </c>
    </row>
    <row r="114" spans="1:26" ht="15.75" thickTop="1" x14ac:dyDescent="0.25">
      <c r="A114" s="9"/>
      <c r="C114" s="9"/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  <row r="115" spans="1:26" x14ac:dyDescent="0.25">
      <c r="A115" s="9"/>
      <c r="B115" s="61">
        <v>44481.978956793981</v>
      </c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  <row r="116" spans="1:26" x14ac:dyDescent="0.25">
      <c r="A116" s="9"/>
      <c r="B116" s="56" t="s">
        <v>56</v>
      </c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  <row r="117" spans="1:26" x14ac:dyDescent="0.25">
      <c r="A117" s="9"/>
      <c r="B117" s="54"/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  <row r="118" spans="1:26" x14ac:dyDescent="0.25"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218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108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295</v>
      </c>
      <c r="C18" s="10"/>
      <c r="D18" s="22">
        <f>SUM(0)</f>
        <v>0</v>
      </c>
      <c r="E18" s="22"/>
      <c r="F18" s="32">
        <f>IF(D$12=0,0,D18/D$12)</f>
        <v>0</v>
      </c>
      <c r="G18" s="22"/>
      <c r="H18" s="22">
        <f>SUM(0)</f>
        <v>0</v>
      </c>
      <c r="I18" s="22"/>
      <c r="J18" s="32">
        <f>IF(H$12=0,0,H18/H$12)</f>
        <v>0</v>
      </c>
      <c r="K18" s="4"/>
      <c r="L18" s="22">
        <f>+D18-H18</f>
        <v>0</v>
      </c>
      <c r="M18" s="4"/>
      <c r="N18" s="32">
        <f>IF(H18=0,0,L18/H18)</f>
        <v>0</v>
      </c>
      <c r="O18" s="10"/>
      <c r="P18" s="22">
        <f>SUM(0)</f>
        <v>0</v>
      </c>
      <c r="Q18" s="22"/>
      <c r="R18" s="32">
        <f>IF(P$12=0,0,P18/P$12)</f>
        <v>0</v>
      </c>
      <c r="S18" s="22"/>
      <c r="T18" s="22">
        <f>SUM(0)</f>
        <v>0</v>
      </c>
      <c r="U18" s="22"/>
      <c r="V18" s="32">
        <f>IF(T$12=0,0,T18/T$12)</f>
        <v>0</v>
      </c>
      <c r="W18" s="4"/>
      <c r="X18" s="22">
        <f>+P18-T18</f>
        <v>0</v>
      </c>
      <c r="Y18" s="4"/>
      <c r="Z18" s="32">
        <f>IF(T18=0,0,X18/T18)</f>
        <v>0</v>
      </c>
    </row>
    <row r="19" spans="1:26" s="58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293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5" t="s">
        <v>277</v>
      </c>
      <c r="C22" s="25"/>
      <c r="D22" s="21">
        <f>+D16-D18+D20</f>
        <v>0</v>
      </c>
      <c r="E22" s="13"/>
      <c r="F22" s="20">
        <f>IF(D$12=0,0,D22/D$12)</f>
        <v>0</v>
      </c>
      <c r="G22" s="13"/>
      <c r="H22" s="21">
        <f>+H16-H18+H20</f>
        <v>0</v>
      </c>
      <c r="I22" s="13"/>
      <c r="J22" s="20">
        <f>IF(H$12=0,0,H22/H$12)</f>
        <v>0</v>
      </c>
      <c r="K22" s="16"/>
      <c r="L22" s="21">
        <f>+D22-H22</f>
        <v>0</v>
      </c>
      <c r="M22" s="16"/>
      <c r="N22" s="20">
        <f>IF(H22=0,0,L22/H22)</f>
        <v>0</v>
      </c>
      <c r="O22" s="26"/>
      <c r="P22" s="21">
        <f>+P16-P18+P20</f>
        <v>0</v>
      </c>
      <c r="Q22" s="13"/>
      <c r="R22" s="20">
        <f>IF(P$12=0,0,P22/P$12)</f>
        <v>0</v>
      </c>
      <c r="S22" s="13"/>
      <c r="T22" s="21">
        <f>+T16-T18+T20</f>
        <v>0</v>
      </c>
      <c r="U22" s="13"/>
      <c r="V22" s="20">
        <f>IF(T$12=0,0,T22/T$12)</f>
        <v>0</v>
      </c>
      <c r="W22" s="16"/>
      <c r="X22" s="21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128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5" t="s">
        <v>126</v>
      </c>
      <c r="C26" s="25"/>
      <c r="D26" s="33">
        <f>+D22-D24</f>
        <v>0</v>
      </c>
      <c r="E26" s="13"/>
      <c r="F26" s="31">
        <f>IF(D$12=0,0,D26/D$12)</f>
        <v>0</v>
      </c>
      <c r="G26" s="13"/>
      <c r="H26" s="33">
        <f>+H22-H24</f>
        <v>0</v>
      </c>
      <c r="I26" s="13"/>
      <c r="J26" s="31">
        <f>IF(H$12=0,0,H26/H$12)</f>
        <v>0</v>
      </c>
      <c r="K26" s="16"/>
      <c r="L26" s="33">
        <f>D26-H26</f>
        <v>0</v>
      </c>
      <c r="M26" s="16"/>
      <c r="N26" s="31">
        <f>IF(H26=0,0,L26/H26)</f>
        <v>0</v>
      </c>
      <c r="O26" s="26"/>
      <c r="P26" s="33">
        <f>+P22-P24</f>
        <v>0</v>
      </c>
      <c r="Q26" s="13"/>
      <c r="R26" s="31">
        <f>IF(P$12=0,0,P26/P$12)</f>
        <v>0</v>
      </c>
      <c r="S26" s="13"/>
      <c r="T26" s="33">
        <f>+T22-T24</f>
        <v>0</v>
      </c>
      <c r="U26" s="13"/>
      <c r="V26" s="31">
        <f>IF(T$12=0,0,T26/T$12)</f>
        <v>0</v>
      </c>
      <c r="W26" s="16"/>
      <c r="X26" s="33">
        <f>P26-T26</f>
        <v>0</v>
      </c>
      <c r="Y26" s="16"/>
      <c r="Z26" s="31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184</v>
      </c>
      <c r="C28" s="10"/>
      <c r="D28" s="4">
        <f>-372468.37</f>
        <v>-372468.37</v>
      </c>
      <c r="E28" s="4"/>
      <c r="F28" s="12">
        <f t="shared" ref="F28:F29" si="0">IF(D$12=0,0,D28/D$12)</f>
        <v>0</v>
      </c>
      <c r="G28" s="4"/>
      <c r="H28" s="4">
        <f>--15000</f>
        <v>15000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-387468.37</v>
      </c>
      <c r="M28" s="4"/>
      <c r="N28" s="12">
        <f t="shared" ref="N28:N29" si="3">IF(H28=0,0,L28/H28)</f>
        <v>-25.831224666666667</v>
      </c>
      <c r="O28" s="10"/>
      <c r="P28" s="4">
        <f>-219609.57</f>
        <v>-219609.57</v>
      </c>
      <c r="Q28" s="4"/>
      <c r="R28" s="12">
        <f t="shared" ref="R28:R29" si="4">IF(P$12=0,0,P28/P$12)</f>
        <v>0</v>
      </c>
      <c r="S28" s="4"/>
      <c r="T28" s="4">
        <f>--45000</f>
        <v>45000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-264609.57</v>
      </c>
      <c r="Y28" s="4"/>
      <c r="Z28" s="12">
        <f t="shared" ref="Z28:Z29" si="7">IF(T28=0,0,X28/T28)</f>
        <v>-5.880212666666667</v>
      </c>
    </row>
    <row r="29" spans="1:26" s="23" customFormat="1" x14ac:dyDescent="0.25">
      <c r="A29" s="52"/>
      <c r="B29" s="10" t="s">
        <v>82</v>
      </c>
      <c r="C29" s="10"/>
      <c r="D29" s="4">
        <f>--15112.29</f>
        <v>15112.29</v>
      </c>
      <c r="E29" s="4"/>
      <c r="F29" s="12">
        <f t="shared" si="0"/>
        <v>0</v>
      </c>
      <c r="G29" s="4"/>
      <c r="H29" s="4">
        <f>--20000</f>
        <v>20000</v>
      </c>
      <c r="I29" s="4"/>
      <c r="J29" s="12">
        <f t="shared" si="1"/>
        <v>0</v>
      </c>
      <c r="K29" s="4"/>
      <c r="L29" s="4">
        <f t="shared" si="2"/>
        <v>-4887.7099999999991</v>
      </c>
      <c r="M29" s="4"/>
      <c r="N29" s="12">
        <f t="shared" si="3"/>
        <v>-0.24438549999999995</v>
      </c>
      <c r="O29" s="10"/>
      <c r="P29" s="4">
        <f>--37328.78</f>
        <v>37328.78</v>
      </c>
      <c r="Q29" s="4"/>
      <c r="R29" s="12">
        <f t="shared" si="4"/>
        <v>0</v>
      </c>
      <c r="S29" s="4"/>
      <c r="T29" s="4">
        <f>--50000</f>
        <v>50000</v>
      </c>
      <c r="U29" s="4"/>
      <c r="V29" s="12">
        <f t="shared" si="5"/>
        <v>0</v>
      </c>
      <c r="W29" s="4"/>
      <c r="X29" s="4">
        <f t="shared" si="6"/>
        <v>-12671.220000000001</v>
      </c>
      <c r="Y29" s="4"/>
      <c r="Z29" s="12">
        <f t="shared" si="7"/>
        <v>-0.25342440000000005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294</v>
      </c>
      <c r="C31" s="25"/>
      <c r="D31" s="35">
        <f>SUM(D26:D30)</f>
        <v>-357356.08</v>
      </c>
      <c r="E31" s="13"/>
      <c r="F31" s="34">
        <f>IF(D$12=0,0,D31/D$12)</f>
        <v>0</v>
      </c>
      <c r="G31" s="13"/>
      <c r="H31" s="35">
        <f>SUM(H26:H30)</f>
        <v>35000</v>
      </c>
      <c r="I31" s="13"/>
      <c r="J31" s="34">
        <f>IF(H$12=0,0,H31/H$12)</f>
        <v>0</v>
      </c>
      <c r="K31" s="16"/>
      <c r="L31" s="35">
        <f>+D31-H31</f>
        <v>-392356.08</v>
      </c>
      <c r="M31" s="16"/>
      <c r="N31" s="34">
        <f>IF(H31=0,0,L31/H31)</f>
        <v>-11.210173714285714</v>
      </c>
      <c r="O31" s="26"/>
      <c r="P31" s="35">
        <f>SUM(P26:P30)</f>
        <v>-182280.79</v>
      </c>
      <c r="Q31" s="13"/>
      <c r="R31" s="34">
        <f>IF(P$12=0,0,P31/P$12)</f>
        <v>0</v>
      </c>
      <c r="S31" s="13"/>
      <c r="T31" s="35">
        <f>SUM(T26:T30)</f>
        <v>95000</v>
      </c>
      <c r="U31" s="13"/>
      <c r="V31" s="34">
        <f>IF(T$12=0,0,T31/T$12)</f>
        <v>0</v>
      </c>
      <c r="W31" s="16"/>
      <c r="X31" s="35">
        <f>+P31-T31</f>
        <v>-277280.79000000004</v>
      </c>
      <c r="Y31" s="16"/>
      <c r="Z31" s="34">
        <f>IF(T31=0,0,X31/T31)</f>
        <v>-2.9187451578947372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61">
        <v>44481.978942592592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6" t="s">
        <v>56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4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","326", " - ", "2nd Street Store")</f>
        <v>Department 326 - 2nd Street Store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22628.5</v>
      </c>
      <c r="E12" s="4"/>
      <c r="F12" s="12"/>
      <c r="G12" s="4"/>
      <c r="H12" s="4">
        <f>SUM(OSRRefH13x_0)</f>
        <v>23436</v>
      </c>
      <c r="I12" s="4"/>
      <c r="J12" s="12"/>
      <c r="K12" s="4"/>
      <c r="L12" s="4">
        <f t="shared" ref="L12:L15" si="0">+D12-H12</f>
        <v>-807.5</v>
      </c>
      <c r="M12" s="4"/>
      <c r="N12" s="12">
        <f t="shared" ref="N12:N15" si="1">IF(H12=0,0,L12/H12)</f>
        <v>-3.4455538487796554E-2</v>
      </c>
      <c r="O12" s="10"/>
      <c r="P12" s="4">
        <f>SUM(OSRRefP13x_0)</f>
        <v>89474.559999999998</v>
      </c>
      <c r="Q12" s="4"/>
      <c r="R12" s="12"/>
      <c r="S12" s="4"/>
      <c r="T12" s="4">
        <f>SUM(OSRRefT13x_0)</f>
        <v>81133</v>
      </c>
      <c r="U12" s="4"/>
      <c r="V12" s="12"/>
      <c r="W12" s="4"/>
      <c r="X12" s="4">
        <f t="shared" ref="X12:X15" si="2">+P12-T12</f>
        <v>8341.5599999999977</v>
      </c>
      <c r="Y12" s="4"/>
      <c r="Z12" s="12">
        <f t="shared" ref="Z12:Z15" si="3">IF(T12=0,0,X12/T12)</f>
        <v>0.1028134051495692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--23239.34</f>
        <v>23239.34</v>
      </c>
      <c r="E13" s="2"/>
      <c r="F13" s="19"/>
      <c r="G13" s="2"/>
      <c r="H13" s="2">
        <v>23436</v>
      </c>
      <c r="I13" s="2"/>
      <c r="J13" s="19"/>
      <c r="K13" s="2"/>
      <c r="L13" s="2">
        <f t="shared" si="0"/>
        <v>-196.65999999999985</v>
      </c>
      <c r="M13" s="2"/>
      <c r="N13" s="19">
        <f t="shared" si="1"/>
        <v>-8.3913637139443522E-3</v>
      </c>
      <c r="O13" s="11"/>
      <c r="P13" s="2">
        <f>--92054.14</f>
        <v>92054.14</v>
      </c>
      <c r="Q13" s="2"/>
      <c r="R13" s="19"/>
      <c r="S13" s="2"/>
      <c r="T13" s="2">
        <v>81133</v>
      </c>
      <c r="U13" s="2"/>
      <c r="V13" s="19"/>
      <c r="W13" s="2"/>
      <c r="X13" s="2">
        <f t="shared" si="2"/>
        <v>10921.14</v>
      </c>
      <c r="Y13" s="2"/>
      <c r="Z13" s="19">
        <f t="shared" si="3"/>
        <v>0.1346078660964096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--6.3</f>
        <v>6.3</v>
      </c>
      <c r="E14" s="2"/>
      <c r="F14" s="19"/>
      <c r="G14" s="2"/>
      <c r="H14" s="2"/>
      <c r="I14" s="2"/>
      <c r="J14" s="19"/>
      <c r="K14" s="2"/>
      <c r="L14" s="2">
        <f t="shared" si="0"/>
        <v>6.3</v>
      </c>
      <c r="M14" s="2"/>
      <c r="N14" s="19">
        <f t="shared" si="1"/>
        <v>0</v>
      </c>
      <c r="O14" s="11"/>
      <c r="P14" s="2">
        <f>--25.8</f>
        <v>25.8</v>
      </c>
      <c r="Q14" s="2"/>
      <c r="R14" s="19"/>
      <c r="S14" s="2"/>
      <c r="T14" s="2"/>
      <c r="U14" s="2"/>
      <c r="V14" s="19"/>
      <c r="W14" s="2"/>
      <c r="X14" s="2">
        <f t="shared" si="2"/>
        <v>25.8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"4200", " - ", "TAXABLE RETURNS")</f>
        <v xml:space="preserve">          4200 - TAXABLE RETURNS</v>
      </c>
      <c r="C15" s="11"/>
      <c r="D15" s="2">
        <f>-617.14</f>
        <v>-617.14</v>
      </c>
      <c r="E15" s="2"/>
      <c r="F15" s="19"/>
      <c r="G15" s="2"/>
      <c r="H15" s="2"/>
      <c r="I15" s="2"/>
      <c r="J15" s="19"/>
      <c r="K15" s="2"/>
      <c r="L15" s="2">
        <f t="shared" si="0"/>
        <v>-617.14</v>
      </c>
      <c r="M15" s="2"/>
      <c r="N15" s="19">
        <f t="shared" si="1"/>
        <v>0</v>
      </c>
      <c r="O15" s="11"/>
      <c r="P15" s="2">
        <f>-2605.38</f>
        <v>-2605.38</v>
      </c>
      <c r="Q15" s="2"/>
      <c r="R15" s="19"/>
      <c r="S15" s="2"/>
      <c r="T15" s="2"/>
      <c r="U15" s="2"/>
      <c r="V15" s="19"/>
      <c r="W15" s="2"/>
      <c r="X15" s="2">
        <f t="shared" si="2"/>
        <v>-2605.38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257</v>
      </c>
      <c r="C17" s="10"/>
      <c r="D17" s="4">
        <f>SUM(OSRRefD16x_0)</f>
        <v>10953.43</v>
      </c>
      <c r="E17" s="4"/>
      <c r="F17" s="12">
        <f t="shared" ref="F17:F20" si="4">IF(D$12=0,0,D17/D$12)</f>
        <v>0.4840546213845372</v>
      </c>
      <c r="G17" s="4"/>
      <c r="H17" s="4">
        <f>SUM(OSRRefH16x_0)</f>
        <v>10546</v>
      </c>
      <c r="I17" s="4"/>
      <c r="J17" s="12">
        <f t="shared" ref="J17:J20" si="5">IF(H$12=0,0,H17/H$12)</f>
        <v>0.4499914661204984</v>
      </c>
      <c r="K17" s="4"/>
      <c r="L17" s="4">
        <f t="shared" ref="L17:L20" si="6">+D17-H17</f>
        <v>407.43000000000029</v>
      </c>
      <c r="M17" s="4"/>
      <c r="N17" s="12">
        <f t="shared" ref="N17:N20" si="7">IF(H17=0,0,L17/H17)</f>
        <v>3.8633605158353908E-2</v>
      </c>
      <c r="O17" s="10"/>
      <c r="P17" s="4">
        <f>SUM(OSRRefP16x_0)</f>
        <v>43566.21</v>
      </c>
      <c r="Q17" s="4"/>
      <c r="R17" s="12">
        <f t="shared" ref="R17:R20" si="8">IF(P$12=0,0,P17/P$12)</f>
        <v>0.48691169869960804</v>
      </c>
      <c r="S17" s="4"/>
      <c r="T17" s="4">
        <f>SUM(OSRRefT16x_0)</f>
        <v>36510</v>
      </c>
      <c r="U17" s="4"/>
      <c r="V17" s="12">
        <f t="shared" ref="V17:V20" si="9">IF(T$12=0,0,T17/T$12)</f>
        <v>0.45000184881614141</v>
      </c>
      <c r="W17" s="4"/>
      <c r="X17" s="4">
        <f t="shared" ref="X17:X20" si="10">+P17-T17</f>
        <v>7056.2099999999991</v>
      </c>
      <c r="Y17" s="4"/>
      <c r="Z17" s="12">
        <f t="shared" ref="Z17:Z20" si="11">IF(T17=0,0,X17/T17)</f>
        <v>0.19326787181594082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>
        <v>666.1</v>
      </c>
      <c r="E18" s="2"/>
      <c r="F18" s="19">
        <f t="shared" si="4"/>
        <v>2.9436330291446627E-2</v>
      </c>
      <c r="G18" s="2"/>
      <c r="H18" s="2">
        <v>10546</v>
      </c>
      <c r="I18" s="2"/>
      <c r="J18" s="19">
        <f t="shared" si="5"/>
        <v>0.4499914661204984</v>
      </c>
      <c r="K18" s="2"/>
      <c r="L18" s="2">
        <f t="shared" si="6"/>
        <v>-9879.9</v>
      </c>
      <c r="M18" s="2"/>
      <c r="N18" s="19">
        <f t="shared" si="7"/>
        <v>-0.93683861179594152</v>
      </c>
      <c r="O18" s="11"/>
      <c r="P18" s="2">
        <v>666.1</v>
      </c>
      <c r="Q18" s="2"/>
      <c r="R18" s="19">
        <f t="shared" si="8"/>
        <v>7.4445741895796981E-3</v>
      </c>
      <c r="S18" s="2"/>
      <c r="T18" s="2">
        <v>36510</v>
      </c>
      <c r="U18" s="2"/>
      <c r="V18" s="19">
        <f t="shared" si="9"/>
        <v>0.45000184881614141</v>
      </c>
      <c r="W18" s="2"/>
      <c r="X18" s="2">
        <f t="shared" si="10"/>
        <v>-35843.9</v>
      </c>
      <c r="Y18" s="2"/>
      <c r="Z18" s="19">
        <f t="shared" si="11"/>
        <v>-0.98175568337441799</v>
      </c>
    </row>
    <row r="19" spans="1:26" s="24" customFormat="1" hidden="1" outlineLevel="1" x14ac:dyDescent="0.25">
      <c r="A19" s="44"/>
      <c r="B19" s="11" t="str">
        <f>CONCATENATE("          ", "5200", " - ", "PURCHASES OFFSET")</f>
        <v xml:space="preserve">          5200 - PURCHASES OFFSET</v>
      </c>
      <c r="C19" s="11"/>
      <c r="D19" s="2">
        <v>-666.1</v>
      </c>
      <c r="E19" s="2"/>
      <c r="F19" s="19">
        <f t="shared" si="4"/>
        <v>-2.9436330291446627E-2</v>
      </c>
      <c r="G19" s="2"/>
      <c r="H19" s="2"/>
      <c r="I19" s="2"/>
      <c r="J19" s="19">
        <f t="shared" si="5"/>
        <v>0</v>
      </c>
      <c r="K19" s="2"/>
      <c r="L19" s="2">
        <f t="shared" si="6"/>
        <v>-666.1</v>
      </c>
      <c r="M19" s="2"/>
      <c r="N19" s="19">
        <f t="shared" si="7"/>
        <v>0</v>
      </c>
      <c r="O19" s="11"/>
      <c r="P19" s="2">
        <v>-666.1</v>
      </c>
      <c r="Q19" s="2"/>
      <c r="R19" s="19">
        <f t="shared" si="8"/>
        <v>-7.4445741895796981E-3</v>
      </c>
      <c r="S19" s="2"/>
      <c r="T19" s="2"/>
      <c r="U19" s="2"/>
      <c r="V19" s="19">
        <f t="shared" si="9"/>
        <v>0</v>
      </c>
      <c r="W19" s="2"/>
      <c r="X19" s="2">
        <f t="shared" si="10"/>
        <v>-666.1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"5300", " - ", "COG$ OFFSET")</f>
        <v xml:space="preserve">          5300 - COG$ OFFSET</v>
      </c>
      <c r="C20" s="11"/>
      <c r="D20" s="2">
        <v>10953.43</v>
      </c>
      <c r="E20" s="2"/>
      <c r="F20" s="19">
        <f t="shared" si="4"/>
        <v>0.4840546213845372</v>
      </c>
      <c r="G20" s="2"/>
      <c r="H20" s="2"/>
      <c r="I20" s="2"/>
      <c r="J20" s="19">
        <f t="shared" si="5"/>
        <v>0</v>
      </c>
      <c r="K20" s="2"/>
      <c r="L20" s="2">
        <f t="shared" si="6"/>
        <v>10953.43</v>
      </c>
      <c r="M20" s="2"/>
      <c r="N20" s="19">
        <f t="shared" si="7"/>
        <v>0</v>
      </c>
      <c r="O20" s="11"/>
      <c r="P20" s="2">
        <v>43566.21</v>
      </c>
      <c r="Q20" s="2"/>
      <c r="R20" s="19">
        <f t="shared" si="8"/>
        <v>0.48691169869960804</v>
      </c>
      <c r="S20" s="2"/>
      <c r="T20" s="2"/>
      <c r="U20" s="2"/>
      <c r="V20" s="19">
        <f t="shared" si="9"/>
        <v>0</v>
      </c>
      <c r="W20" s="2"/>
      <c r="X20" s="2">
        <f t="shared" si="10"/>
        <v>43566.21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5" t="s">
        <v>108</v>
      </c>
      <c r="C22" s="25"/>
      <c r="D22" s="21">
        <f>D12-D17</f>
        <v>11675.07</v>
      </c>
      <c r="E22" s="13"/>
      <c r="F22" s="20">
        <f>IF(D$12=0,0,D22/D$12)</f>
        <v>0.51594537861546275</v>
      </c>
      <c r="G22" s="13"/>
      <c r="H22" s="21">
        <f>H12-H17</f>
        <v>12890</v>
      </c>
      <c r="I22" s="13"/>
      <c r="J22" s="20">
        <f>IF(H$12=0,0,H22/H$12)</f>
        <v>0.55000853387950166</v>
      </c>
      <c r="K22" s="16"/>
      <c r="L22" s="21">
        <f>+D22-H22</f>
        <v>-1214.9300000000003</v>
      </c>
      <c r="M22" s="16"/>
      <c r="N22" s="20">
        <f>IF(H22=0,0,L22/H22)</f>
        <v>-9.4253685027152853E-2</v>
      </c>
      <c r="O22" s="26"/>
      <c r="P22" s="21">
        <f>P12-P17</f>
        <v>45908.35</v>
      </c>
      <c r="Q22" s="13"/>
      <c r="R22" s="20">
        <f>IF(P$12=0,0,P22/P$12)</f>
        <v>0.51308830130039196</v>
      </c>
      <c r="S22" s="13"/>
      <c r="T22" s="21">
        <f>T12-T17</f>
        <v>44623</v>
      </c>
      <c r="U22" s="13"/>
      <c r="V22" s="20">
        <f>IF(T$12=0,0,T22/T$12)</f>
        <v>0.54999815118385864</v>
      </c>
      <c r="W22" s="16"/>
      <c r="X22" s="21">
        <f>+P22-T22</f>
        <v>1285.3499999999985</v>
      </c>
      <c r="Y22" s="16"/>
      <c r="Z22" s="20">
        <f>IF(T22=0,0,X22/T22)</f>
        <v>2.8804652309347166E-2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6" t="s">
        <v>295</v>
      </c>
      <c r="C24" s="10"/>
      <c r="D24" s="22">
        <f>SUM(OSRRefD22x_0)</f>
        <v>14719.130000000001</v>
      </c>
      <c r="E24" s="22"/>
      <c r="F24" s="32">
        <f t="shared" ref="F24:F34" si="12">IF(D$12=0,0,D24/D$12)</f>
        <v>0.6504686567823762</v>
      </c>
      <c r="G24" s="22"/>
      <c r="H24" s="22">
        <f>SUM(OSRRefH22x_0)</f>
        <v>20053.626815769228</v>
      </c>
      <c r="I24" s="22"/>
      <c r="J24" s="32">
        <f t="shared" ref="J24:J34" si="13">IF(H$12=0,0,H24/H$12)</f>
        <v>0.85567617408129493</v>
      </c>
      <c r="K24" s="4"/>
      <c r="L24" s="22">
        <f t="shared" ref="L24:L34" si="14">+D24-H24</f>
        <v>-5334.4968157692274</v>
      </c>
      <c r="M24" s="4"/>
      <c r="N24" s="32">
        <f t="shared" ref="N24:N34" si="15">IF(H24=0,0,L24/H24)</f>
        <v>-0.26601157310728601</v>
      </c>
      <c r="O24" s="10"/>
      <c r="P24" s="22">
        <f>SUM(OSRRefP22x_0)</f>
        <v>48005.179999999993</v>
      </c>
      <c r="Q24" s="22"/>
      <c r="R24" s="32">
        <f t="shared" ref="R24:R34" si="16">IF(P$12=0,0,P24/P$12)</f>
        <v>0.53652323073731789</v>
      </c>
      <c r="S24" s="22"/>
      <c r="T24" s="22">
        <f>SUM(OSRRefT22x_0)</f>
        <v>64584.696078749999</v>
      </c>
      <c r="U24" s="22"/>
      <c r="V24" s="32">
        <f t="shared" ref="V24:V34" si="17">IF(T$12=0,0,T24/T$12)</f>
        <v>0.79603485731761425</v>
      </c>
      <c r="W24" s="4"/>
      <c r="X24" s="22">
        <f t="shared" ref="X24:X34" si="18">+P24-T24</f>
        <v>-16579.516078750006</v>
      </c>
      <c r="Y24" s="4"/>
      <c r="Z24" s="32">
        <f t="shared" ref="Z24:Z34" si="19">IF(T24=0,0,X24/T24)</f>
        <v>-0.25670967094950975</v>
      </c>
    </row>
    <row r="25" spans="1:26" s="28" customFormat="1" outlineLevel="1" collapsed="1" x14ac:dyDescent="0.25">
      <c r="A25" s="27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SUM(OSRRefD22_0x_0)</f>
        <v>1131.5899999999999</v>
      </c>
      <c r="E25" s="1"/>
      <c r="F25" s="5">
        <f t="shared" si="12"/>
        <v>5.0007291689683361E-2</v>
      </c>
      <c r="G25" s="1"/>
      <c r="H25" s="1">
        <f>SUM(OSRRefH22_0x_0)</f>
        <v>2486.1691234615378</v>
      </c>
      <c r="I25" s="1"/>
      <c r="J25" s="5">
        <f t="shared" si="13"/>
        <v>0.10608333860136276</v>
      </c>
      <c r="K25" s="1"/>
      <c r="L25" s="1">
        <f t="shared" si="14"/>
        <v>-1354.5791234615378</v>
      </c>
      <c r="M25" s="1"/>
      <c r="N25" s="5">
        <f t="shared" si="15"/>
        <v>-0.54484592809017474</v>
      </c>
      <c r="O25" s="14"/>
      <c r="P25" s="1">
        <f>SUM(OSRRefP22_0x_0)</f>
        <v>3809.09</v>
      </c>
      <c r="Q25" s="1"/>
      <c r="R25" s="5">
        <f t="shared" si="16"/>
        <v>4.2571765650482103E-2</v>
      </c>
      <c r="S25" s="1"/>
      <c r="T25" s="1">
        <f>SUM(OSRRefT22_0x_0)</f>
        <v>8215.7085787499982</v>
      </c>
      <c r="U25" s="1"/>
      <c r="V25" s="5">
        <f t="shared" si="17"/>
        <v>0.1012622308894038</v>
      </c>
      <c r="W25" s="1"/>
      <c r="X25" s="1">
        <f t="shared" si="18"/>
        <v>-4406.6185787499981</v>
      </c>
      <c r="Y25" s="1"/>
      <c r="Z25" s="5">
        <f t="shared" si="19"/>
        <v>-0.53636500570964207</v>
      </c>
    </row>
    <row r="26" spans="1:26" s="24" customFormat="1" hidden="1" outlineLevel="2" x14ac:dyDescent="0.25">
      <c r="A26" s="29"/>
      <c r="B26" s="11" t="str">
        <f>CONCATENATE("          ", "6111", " - ", "F.I.C.A.")</f>
        <v xml:space="preserve">          6111 - F.I.C.A.</v>
      </c>
      <c r="C26" s="11"/>
      <c r="D26" s="7">
        <v>152.18</v>
      </c>
      <c r="E26" s="2"/>
      <c r="F26" s="6">
        <f t="shared" si="12"/>
        <v>6.725147490995868E-3</v>
      </c>
      <c r="G26" s="2"/>
      <c r="H26" s="7">
        <v>565.45956576923095</v>
      </c>
      <c r="I26" s="2"/>
      <c r="J26" s="6">
        <f t="shared" si="13"/>
        <v>2.4127818986568995E-2</v>
      </c>
      <c r="K26" s="2"/>
      <c r="L26" s="7">
        <f t="shared" si="14"/>
        <v>-413.27956576923094</v>
      </c>
      <c r="M26" s="2"/>
      <c r="N26" s="6">
        <f t="shared" si="15"/>
        <v>-0.73087377203889059</v>
      </c>
      <c r="O26" s="11"/>
      <c r="P26" s="7">
        <v>946.44</v>
      </c>
      <c r="Q26" s="2"/>
      <c r="R26" s="6">
        <f t="shared" si="16"/>
        <v>1.0577755285971789E-2</v>
      </c>
      <c r="S26" s="2"/>
      <c r="T26" s="7">
        <v>2220.5275162500002</v>
      </c>
      <c r="U26" s="2"/>
      <c r="V26" s="6">
        <f t="shared" si="17"/>
        <v>2.7368980763068051E-2</v>
      </c>
      <c r="W26" s="2"/>
      <c r="X26" s="7">
        <f t="shared" si="18"/>
        <v>-1274.0875162500001</v>
      </c>
      <c r="Y26" s="2"/>
      <c r="Z26" s="6">
        <f t="shared" si="19"/>
        <v>-0.57377695476688517</v>
      </c>
    </row>
    <row r="27" spans="1:26" s="24" customFormat="1" hidden="1" outlineLevel="2" x14ac:dyDescent="0.25">
      <c r="A27" s="29"/>
      <c r="B27" s="11" t="str">
        <f>CONCATENATE("          ", "6112", " - ", "COMPENSATION INSURANCE")</f>
        <v xml:space="preserve">          6112 - COMPENSATION INSURANCE</v>
      </c>
      <c r="C27" s="11"/>
      <c r="D27" s="7">
        <v>73.31</v>
      </c>
      <c r="E27" s="2"/>
      <c r="F27" s="6">
        <f t="shared" si="12"/>
        <v>3.239719822347924E-3</v>
      </c>
      <c r="G27" s="2"/>
      <c r="H27" s="7">
        <v>149.94300000000001</v>
      </c>
      <c r="I27" s="2"/>
      <c r="J27" s="6">
        <f t="shared" si="13"/>
        <v>6.3979774705581159E-3</v>
      </c>
      <c r="K27" s="2"/>
      <c r="L27" s="7">
        <f t="shared" si="14"/>
        <v>-76.63300000000001</v>
      </c>
      <c r="M27" s="2"/>
      <c r="N27" s="6">
        <f t="shared" si="15"/>
        <v>-0.51108087740007868</v>
      </c>
      <c r="O27" s="11"/>
      <c r="P27" s="7">
        <v>157.71</v>
      </c>
      <c r="Q27" s="2"/>
      <c r="R27" s="6">
        <f t="shared" si="16"/>
        <v>1.7626239234928903E-3</v>
      </c>
      <c r="S27" s="2"/>
      <c r="T27" s="7">
        <v>487.31475</v>
      </c>
      <c r="U27" s="2"/>
      <c r="V27" s="6">
        <f t="shared" si="17"/>
        <v>6.0063691716071141E-3</v>
      </c>
      <c r="W27" s="2"/>
      <c r="X27" s="7">
        <f t="shared" si="18"/>
        <v>-329.60474999999997</v>
      </c>
      <c r="Y27" s="2"/>
      <c r="Z27" s="6">
        <f t="shared" si="19"/>
        <v>-0.6763693280369617</v>
      </c>
    </row>
    <row r="28" spans="1:26" s="24" customFormat="1" hidden="1" outlineLevel="2" x14ac:dyDescent="0.25">
      <c r="A28" s="29"/>
      <c r="B28" s="11" t="str">
        <f>CONCATENATE("          ", "6113", " - ", "GROUP INSURANCE")</f>
        <v xml:space="preserve">          6113 - GROUP INSURANCE</v>
      </c>
      <c r="C28" s="11"/>
      <c r="D28" s="7">
        <v>537.95000000000005</v>
      </c>
      <c r="E28" s="2"/>
      <c r="F28" s="6">
        <f t="shared" si="12"/>
        <v>2.3773117970700666E-2</v>
      </c>
      <c r="G28" s="2"/>
      <c r="H28" s="7">
        <v>988.5</v>
      </c>
      <c r="I28" s="2"/>
      <c r="J28" s="6">
        <f t="shared" si="13"/>
        <v>4.2178699436763951E-2</v>
      </c>
      <c r="K28" s="2"/>
      <c r="L28" s="7">
        <f t="shared" si="14"/>
        <v>-450.54999999999995</v>
      </c>
      <c r="M28" s="2"/>
      <c r="N28" s="6">
        <f t="shared" si="15"/>
        <v>-0.45579160343955483</v>
      </c>
      <c r="O28" s="11"/>
      <c r="P28" s="7">
        <v>1591.35</v>
      </c>
      <c r="Q28" s="2"/>
      <c r="R28" s="6">
        <f t="shared" si="16"/>
        <v>1.7785502381906095E-2</v>
      </c>
      <c r="S28" s="2"/>
      <c r="T28" s="7">
        <v>2965.5</v>
      </c>
      <c r="U28" s="2"/>
      <c r="V28" s="6">
        <f t="shared" si="17"/>
        <v>3.6551095115427756E-2</v>
      </c>
      <c r="W28" s="2"/>
      <c r="X28" s="7">
        <f t="shared" si="18"/>
        <v>-1374.15</v>
      </c>
      <c r="Y28" s="2"/>
      <c r="Z28" s="6">
        <f t="shared" si="19"/>
        <v>-0.46337885685381897</v>
      </c>
    </row>
    <row r="29" spans="1:26" s="24" customFormat="1" hidden="1" outlineLevel="2" x14ac:dyDescent="0.25">
      <c r="A29" s="29"/>
      <c r="B29" s="11" t="str">
        <f>CONCATENATE("          ", "6114", " - ", "STATE UNEMPLOYMENT INSURANCE")</f>
        <v xml:space="preserve">          6114 - STATE UNEMPLOYMENT INSURANCE</v>
      </c>
      <c r="C29" s="11"/>
      <c r="D29" s="7">
        <v>12.88</v>
      </c>
      <c r="E29" s="2"/>
      <c r="F29" s="6">
        <f t="shared" si="12"/>
        <v>5.6919371588925473E-4</v>
      </c>
      <c r="G29" s="2"/>
      <c r="H29" s="7">
        <v>20.184634615384599</v>
      </c>
      <c r="I29" s="2"/>
      <c r="J29" s="6">
        <f t="shared" si="13"/>
        <v>8.6126619795974567E-4</v>
      </c>
      <c r="K29" s="2"/>
      <c r="L29" s="7">
        <f t="shared" si="14"/>
        <v>-7.3046346153845985</v>
      </c>
      <c r="M29" s="2"/>
      <c r="N29" s="6">
        <f t="shared" si="15"/>
        <v>-0.36189085185703845</v>
      </c>
      <c r="O29" s="11"/>
      <c r="P29" s="7">
        <v>27.7</v>
      </c>
      <c r="Q29" s="2"/>
      <c r="R29" s="6">
        <f t="shared" si="16"/>
        <v>3.0958520500128751E-4</v>
      </c>
      <c r="S29" s="2"/>
      <c r="T29" s="7">
        <v>65.600062500000007</v>
      </c>
      <c r="U29" s="2"/>
      <c r="V29" s="6">
        <f t="shared" si="17"/>
        <v>8.0854969617788085E-4</v>
      </c>
      <c r="W29" s="2"/>
      <c r="X29" s="7">
        <f t="shared" si="18"/>
        <v>-37.900062500000004</v>
      </c>
      <c r="Y29" s="2"/>
      <c r="Z29" s="6">
        <f t="shared" si="19"/>
        <v>-0.57774430474056337</v>
      </c>
    </row>
    <row r="30" spans="1:26" s="24" customFormat="1" hidden="1" outlineLevel="2" x14ac:dyDescent="0.25">
      <c r="A30" s="29"/>
      <c r="B30" s="11" t="str">
        <f>CONCATENATE("          ", "6115", " - ", "P.E.R.S.")</f>
        <v xml:space="preserve">          6115 - P.E.R.S.</v>
      </c>
      <c r="C30" s="11"/>
      <c r="D30" s="7">
        <v>88.89</v>
      </c>
      <c r="E30" s="2"/>
      <c r="F30" s="6">
        <f t="shared" si="12"/>
        <v>3.9282320966922248E-3</v>
      </c>
      <c r="G30" s="2"/>
      <c r="H30" s="7">
        <v>206.11884615384599</v>
      </c>
      <c r="I30" s="2"/>
      <c r="J30" s="6">
        <f t="shared" si="13"/>
        <v>8.7949669804508451E-3</v>
      </c>
      <c r="K30" s="2"/>
      <c r="L30" s="7">
        <f t="shared" si="14"/>
        <v>-117.22884615384599</v>
      </c>
      <c r="M30" s="2"/>
      <c r="N30" s="6">
        <f t="shared" si="15"/>
        <v>-0.56874394719999066</v>
      </c>
      <c r="O30" s="11"/>
      <c r="P30" s="7">
        <v>266.67</v>
      </c>
      <c r="Q30" s="2"/>
      <c r="R30" s="6">
        <f t="shared" si="16"/>
        <v>2.980400238905897E-3</v>
      </c>
      <c r="S30" s="2"/>
      <c r="T30" s="7">
        <v>669.88625000000002</v>
      </c>
      <c r="U30" s="2"/>
      <c r="V30" s="6">
        <f t="shared" si="17"/>
        <v>8.2566434126680882E-3</v>
      </c>
      <c r="W30" s="2"/>
      <c r="X30" s="7">
        <f t="shared" si="18"/>
        <v>-403.21625</v>
      </c>
      <c r="Y30" s="2"/>
      <c r="Z30" s="6">
        <f t="shared" si="19"/>
        <v>-0.60191748972306869</v>
      </c>
    </row>
    <row r="31" spans="1:26" s="24" customFormat="1" hidden="1" outlineLevel="2" x14ac:dyDescent="0.25">
      <c r="A31" s="29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9"/>
      <c r="B32" s="11" t="str">
        <f>CONCATENATE("          ", "6118", " - ", "VACATION")</f>
        <v xml:space="preserve">          6118 - VACATION</v>
      </c>
      <c r="C32" s="11"/>
      <c r="D32" s="7">
        <v>85.64</v>
      </c>
      <c r="E32" s="2"/>
      <c r="F32" s="6">
        <f t="shared" si="12"/>
        <v>3.7846079059592991E-3</v>
      </c>
      <c r="G32" s="2"/>
      <c r="H32" s="7">
        <v>119.836538461538</v>
      </c>
      <c r="I32" s="2"/>
      <c r="J32" s="6">
        <f t="shared" si="13"/>
        <v>5.1133528956109403E-3</v>
      </c>
      <c r="K32" s="2"/>
      <c r="L32" s="7">
        <f t="shared" si="14"/>
        <v>-34.196538461537997</v>
      </c>
      <c r="M32" s="2"/>
      <c r="N32" s="6">
        <f t="shared" si="15"/>
        <v>-0.28535986520099216</v>
      </c>
      <c r="O32" s="11"/>
      <c r="P32" s="7">
        <v>256.92</v>
      </c>
      <c r="Q32" s="2"/>
      <c r="R32" s="6">
        <f t="shared" si="16"/>
        <v>2.8714307172899205E-3</v>
      </c>
      <c r="S32" s="2"/>
      <c r="T32" s="7">
        <v>389.46874999999898</v>
      </c>
      <c r="U32" s="2"/>
      <c r="V32" s="6">
        <f t="shared" si="17"/>
        <v>4.8003740771325968E-3</v>
      </c>
      <c r="W32" s="2"/>
      <c r="X32" s="7">
        <f t="shared" si="18"/>
        <v>-132.54874999999896</v>
      </c>
      <c r="Y32" s="2"/>
      <c r="Z32" s="6">
        <f t="shared" si="19"/>
        <v>-0.34033218326245512</v>
      </c>
    </row>
    <row r="33" spans="1:26" s="24" customFormat="1" hidden="1" outlineLevel="2" x14ac:dyDescent="0.25">
      <c r="A33" s="29"/>
      <c r="B33" s="11" t="str">
        <f>CONCATENATE("          ", "6119", " - ", "SICK LEAVE")</f>
        <v xml:space="preserve">          6119 - SICK LEAVE</v>
      </c>
      <c r="C33" s="11"/>
      <c r="D33" s="7">
        <v>54.02</v>
      </c>
      <c r="E33" s="2"/>
      <c r="F33" s="6">
        <f t="shared" si="12"/>
        <v>2.387255010274654E-3</v>
      </c>
      <c r="G33" s="2"/>
      <c r="H33" s="7">
        <v>436.12653846153802</v>
      </c>
      <c r="I33" s="2"/>
      <c r="J33" s="6">
        <f t="shared" si="13"/>
        <v>1.8609256633450161E-2</v>
      </c>
      <c r="K33" s="2"/>
      <c r="L33" s="7">
        <f t="shared" si="14"/>
        <v>-382.10653846153804</v>
      </c>
      <c r="M33" s="2"/>
      <c r="N33" s="6">
        <f t="shared" si="15"/>
        <v>-0.87613686571205063</v>
      </c>
      <c r="O33" s="11"/>
      <c r="P33" s="7">
        <v>162.06</v>
      </c>
      <c r="Q33" s="2"/>
      <c r="R33" s="6">
        <f t="shared" si="16"/>
        <v>1.8112410946754028E-3</v>
      </c>
      <c r="S33" s="2"/>
      <c r="T33" s="7">
        <v>1417.4112500000001</v>
      </c>
      <c r="U33" s="2"/>
      <c r="V33" s="6">
        <f t="shared" si="17"/>
        <v>1.7470218653322322E-2</v>
      </c>
      <c r="W33" s="2"/>
      <c r="X33" s="7">
        <f t="shared" si="18"/>
        <v>-1255.3512500000002</v>
      </c>
      <c r="Y33" s="2"/>
      <c r="Z33" s="6">
        <f t="shared" si="19"/>
        <v>-0.88566479911881613</v>
      </c>
    </row>
    <row r="34" spans="1:26" s="24" customFormat="1" hidden="1" outlineLevel="2" x14ac:dyDescent="0.25">
      <c r="A34" s="29"/>
      <c r="B34" s="11" t="str">
        <f>CONCATENATE("          ", "6156", " - ", "EMPLOYEE MEALS")</f>
        <v xml:space="preserve">          6156 - EMPLOYEE MEALS</v>
      </c>
      <c r="C34" s="11"/>
      <c r="D34" s="7">
        <v>126.72</v>
      </c>
      <c r="E34" s="2"/>
      <c r="F34" s="6">
        <f t="shared" si="12"/>
        <v>5.6000176768234745E-3</v>
      </c>
      <c r="G34" s="2"/>
      <c r="H34" s="7"/>
      <c r="I34" s="2"/>
      <c r="J34" s="6">
        <f t="shared" si="13"/>
        <v>0</v>
      </c>
      <c r="K34" s="2"/>
      <c r="L34" s="7">
        <f t="shared" si="14"/>
        <v>126.72</v>
      </c>
      <c r="M34" s="2"/>
      <c r="N34" s="6">
        <f t="shared" si="15"/>
        <v>0</v>
      </c>
      <c r="O34" s="11"/>
      <c r="P34" s="7">
        <v>400.24</v>
      </c>
      <c r="Q34" s="2"/>
      <c r="R34" s="6">
        <f t="shared" si="16"/>
        <v>4.4732268032388204E-3</v>
      </c>
      <c r="S34" s="2"/>
      <c r="T34" s="7"/>
      <c r="U34" s="2"/>
      <c r="V34" s="6">
        <f t="shared" si="17"/>
        <v>0</v>
      </c>
      <c r="W34" s="2"/>
      <c r="X34" s="7">
        <f t="shared" si="18"/>
        <v>400.24</v>
      </c>
      <c r="Y34" s="2"/>
      <c r="Z34" s="6">
        <f t="shared" si="19"/>
        <v>0</v>
      </c>
    </row>
    <row r="35" spans="1:26" s="28" customFormat="1" outlineLevel="1" collapsed="1" x14ac:dyDescent="0.25">
      <c r="A35" s="27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5414.35</v>
      </c>
      <c r="E35" s="1"/>
      <c r="F35" s="5">
        <f t="shared" ref="F35:F45" si="20">IF(D$12=0,0,D35/D$12)</f>
        <v>0.23927127295225051</v>
      </c>
      <c r="G35" s="1"/>
      <c r="H35" s="1">
        <f>SUM(OSRRefH22_1x_0)</f>
        <v>9122.4576923076893</v>
      </c>
      <c r="I35" s="1"/>
      <c r="J35" s="5">
        <f t="shared" ref="J35:J45" si="21">IF(H$12=0,0,H35/H$12)</f>
        <v>0.38924977352396695</v>
      </c>
      <c r="K35" s="1"/>
      <c r="L35" s="1">
        <f t="shared" ref="L35:L45" si="22">+D35-H35</f>
        <v>-3708.1076923076889</v>
      </c>
      <c r="M35" s="1"/>
      <c r="N35" s="5">
        <f t="shared" ref="N35:N45" si="23">IF(H35=0,0,L35/H35)</f>
        <v>-0.40648121563057166</v>
      </c>
      <c r="O35" s="14"/>
      <c r="P35" s="1">
        <f>SUM(OSRRefP22_1x_0)</f>
        <v>17546.579999999998</v>
      </c>
      <c r="Q35" s="1"/>
      <c r="R35" s="5">
        <f t="shared" ref="R35:R45" si="24">IF(P$12=0,0,P35/P$12)</f>
        <v>0.19610691575348344</v>
      </c>
      <c r="S35" s="1"/>
      <c r="T35" s="1">
        <f>SUM(OSRRefT22_1x_0)</f>
        <v>29647.987499999999</v>
      </c>
      <c r="U35" s="1"/>
      <c r="V35" s="5">
        <f t="shared" ref="V35:V45" si="25">IF(T$12=0,0,T35/T$12)</f>
        <v>0.36542451899966721</v>
      </c>
      <c r="W35" s="1"/>
      <c r="X35" s="1">
        <f t="shared" ref="X35:X45" si="26">+P35-T35</f>
        <v>-12101.407500000001</v>
      </c>
      <c r="Y35" s="1"/>
      <c r="Z35" s="5">
        <f t="shared" ref="Z35:Z45" si="27">IF(T35=0,0,X35/T35)</f>
        <v>-0.40816961016325309</v>
      </c>
    </row>
    <row r="36" spans="1:26" s="24" customFormat="1" hidden="1" outlineLevel="2" x14ac:dyDescent="0.25">
      <c r="A36" s="29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9"/>
      <c r="B37" s="11" t="str">
        <f>CONCATENATE("          ", "6002", " - ", "STAFF SALARIES")</f>
        <v xml:space="preserve">          6002 - STAFF SALARIES</v>
      </c>
      <c r="C37" s="11"/>
      <c r="D37" s="7">
        <v>1112.5999999999999</v>
      </c>
      <c r="E37" s="2"/>
      <c r="F37" s="6">
        <f t="shared" si="20"/>
        <v>4.9168084495216202E-2</v>
      </c>
      <c r="G37" s="2"/>
      <c r="H37" s="7">
        <v>2157.0576923076901</v>
      </c>
      <c r="I37" s="2"/>
      <c r="J37" s="6">
        <f t="shared" si="21"/>
        <v>9.204035212099719E-2</v>
      </c>
      <c r="K37" s="2"/>
      <c r="L37" s="7">
        <f t="shared" si="22"/>
        <v>-1044.4576923076902</v>
      </c>
      <c r="M37" s="2"/>
      <c r="N37" s="6">
        <f t="shared" si="23"/>
        <v>-0.48420480176879072</v>
      </c>
      <c r="O37" s="11"/>
      <c r="P37" s="7">
        <v>3689.36</v>
      </c>
      <c r="Q37" s="2"/>
      <c r="R37" s="6">
        <f t="shared" si="24"/>
        <v>4.1233619925037913E-2</v>
      </c>
      <c r="S37" s="2"/>
      <c r="T37" s="7">
        <v>7010.4375</v>
      </c>
      <c r="U37" s="2"/>
      <c r="V37" s="6">
        <f t="shared" si="25"/>
        <v>8.6406733388386975E-2</v>
      </c>
      <c r="W37" s="2"/>
      <c r="X37" s="7">
        <f t="shared" si="26"/>
        <v>-3321.0774999999999</v>
      </c>
      <c r="Y37" s="2"/>
      <c r="Z37" s="6">
        <f t="shared" si="27"/>
        <v>-0.47373327270944215</v>
      </c>
    </row>
    <row r="38" spans="1:26" s="24" customFormat="1" hidden="1" outlineLevel="2" x14ac:dyDescent="0.25">
      <c r="A38" s="29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0"/>
        <v>0</v>
      </c>
      <c r="G39" s="2"/>
      <c r="H39" s="7">
        <v>4742.3999999999996</v>
      </c>
      <c r="I39" s="2"/>
      <c r="J39" s="6">
        <f t="shared" si="21"/>
        <v>0.20235535074244751</v>
      </c>
      <c r="K39" s="2"/>
      <c r="L39" s="7">
        <f t="shared" si="22"/>
        <v>-4742.3999999999996</v>
      </c>
      <c r="M39" s="2"/>
      <c r="N39" s="6">
        <f t="shared" si="23"/>
        <v>-1</v>
      </c>
      <c r="O39" s="11"/>
      <c r="P39" s="7">
        <v>231.35</v>
      </c>
      <c r="Q39" s="2"/>
      <c r="R39" s="6">
        <f t="shared" si="24"/>
        <v>2.5856511616262766E-3</v>
      </c>
      <c r="S39" s="2"/>
      <c r="T39" s="7">
        <v>15412.8</v>
      </c>
      <c r="U39" s="2"/>
      <c r="V39" s="6">
        <f t="shared" si="25"/>
        <v>0.18996955616087163</v>
      </c>
      <c r="W39" s="2"/>
      <c r="X39" s="7">
        <f t="shared" si="26"/>
        <v>-15181.449999999999</v>
      </c>
      <c r="Y39" s="2"/>
      <c r="Z39" s="6">
        <f t="shared" si="27"/>
        <v>-0.9849897487802346</v>
      </c>
    </row>
    <row r="40" spans="1:26" s="24" customFormat="1" hidden="1" outlineLevel="2" x14ac:dyDescent="0.25">
      <c r="A40" s="29"/>
      <c r="B40" s="11" t="str">
        <f>CONCATENATE("          ", "6005", " - ", "TEMPORARY WAGES-HOURLY")</f>
        <v xml:space="preserve">          6005 - TEMPORARY WAGES-HOURLY</v>
      </c>
      <c r="C40" s="11"/>
      <c r="D40" s="7">
        <v>818.12</v>
      </c>
      <c r="E40" s="2"/>
      <c r="F40" s="6">
        <f t="shared" si="20"/>
        <v>3.6154407053052569E-2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818.12</v>
      </c>
      <c r="M40" s="2"/>
      <c r="N40" s="6">
        <f t="shared" si="23"/>
        <v>0</v>
      </c>
      <c r="O40" s="11"/>
      <c r="P40" s="7">
        <v>2481.77</v>
      </c>
      <c r="Q40" s="2"/>
      <c r="R40" s="6">
        <f t="shared" si="24"/>
        <v>2.7737157913936654E-2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2481.77</v>
      </c>
      <c r="Y40" s="2"/>
      <c r="Z40" s="6">
        <f t="shared" si="27"/>
        <v>0</v>
      </c>
    </row>
    <row r="41" spans="1:26" s="24" customFormat="1" hidden="1" outlineLevel="2" x14ac:dyDescent="0.25">
      <c r="A41" s="29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9"/>
      <c r="B42" s="11" t="str">
        <f>CONCATENATE("          ", "6007", " - ", "STUDENT HOURLY")</f>
        <v xml:space="preserve">          6007 - STUDENT HOURLY</v>
      </c>
      <c r="C42" s="11"/>
      <c r="D42" s="7">
        <v>3483.63</v>
      </c>
      <c r="E42" s="2"/>
      <c r="F42" s="6">
        <f t="shared" si="20"/>
        <v>0.15394878140398172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3483.63</v>
      </c>
      <c r="M42" s="2"/>
      <c r="N42" s="6">
        <f t="shared" si="23"/>
        <v>0</v>
      </c>
      <c r="O42" s="11"/>
      <c r="P42" s="7">
        <v>10702.51</v>
      </c>
      <c r="Q42" s="2"/>
      <c r="R42" s="6">
        <f t="shared" si="24"/>
        <v>0.11961511741438013</v>
      </c>
      <c r="S42" s="2"/>
      <c r="T42" s="7">
        <v>5001.75</v>
      </c>
      <c r="U42" s="2"/>
      <c r="V42" s="6">
        <f t="shared" si="25"/>
        <v>6.164877423489825E-2</v>
      </c>
      <c r="W42" s="2"/>
      <c r="X42" s="7">
        <f t="shared" si="26"/>
        <v>5700.76</v>
      </c>
      <c r="Y42" s="2"/>
      <c r="Z42" s="6">
        <f t="shared" si="27"/>
        <v>1.1397530864197531</v>
      </c>
    </row>
    <row r="43" spans="1:26" s="24" customFormat="1" hidden="1" outlineLevel="2" x14ac:dyDescent="0.25">
      <c r="A43" s="29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0"/>
        <v>0</v>
      </c>
      <c r="G43" s="2"/>
      <c r="H43" s="7">
        <v>2223</v>
      </c>
      <c r="I43" s="2"/>
      <c r="J43" s="6">
        <f t="shared" si="21"/>
        <v>9.4854070660522274E-2</v>
      </c>
      <c r="K43" s="2"/>
      <c r="L43" s="7">
        <f t="shared" si="22"/>
        <v>-2223</v>
      </c>
      <c r="M43" s="2"/>
      <c r="N43" s="6">
        <f t="shared" si="23"/>
        <v>-1</v>
      </c>
      <c r="O43" s="11"/>
      <c r="P43" s="7">
        <v>441.59</v>
      </c>
      <c r="Q43" s="2"/>
      <c r="R43" s="6">
        <f t="shared" si="24"/>
        <v>4.9353693385024745E-3</v>
      </c>
      <c r="S43" s="2"/>
      <c r="T43" s="7">
        <v>2223</v>
      </c>
      <c r="U43" s="2"/>
      <c r="V43" s="6">
        <f t="shared" si="25"/>
        <v>2.7399455215510335E-2</v>
      </c>
      <c r="W43" s="2"/>
      <c r="X43" s="7">
        <f t="shared" si="26"/>
        <v>-1781.41</v>
      </c>
      <c r="Y43" s="2"/>
      <c r="Z43" s="6">
        <f t="shared" si="27"/>
        <v>-0.80135402609086825</v>
      </c>
    </row>
    <row r="44" spans="1:26" s="24" customFormat="1" hidden="1" outlineLevel="2" x14ac:dyDescent="0.25">
      <c r="A44" s="29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9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8" customFormat="1" outlineLevel="1" collapsed="1" x14ac:dyDescent="0.25">
      <c r="A46" s="27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SUM(OSRRefD22_2x_0)</f>
        <v>0</v>
      </c>
      <c r="E46" s="1"/>
      <c r="F46" s="5">
        <f t="shared" ref="F46:F66" si="28">IF(D$12=0,0,D46/D$12)</f>
        <v>0</v>
      </c>
      <c r="G46" s="1"/>
      <c r="H46" s="1">
        <f>SUM(OSRRefH22_2x_0)</f>
        <v>50</v>
      </c>
      <c r="I46" s="1"/>
      <c r="J46" s="5">
        <f t="shared" ref="J46:J66" si="29">IF(H$12=0,0,H46/H$12)</f>
        <v>2.1334698754053591E-3</v>
      </c>
      <c r="K46" s="1"/>
      <c r="L46" s="1">
        <f t="shared" ref="L46:L66" si="30">+D46-H46</f>
        <v>-50</v>
      </c>
      <c r="M46" s="1"/>
      <c r="N46" s="5">
        <f t="shared" ref="N46:N66" si="31">IF(H46=0,0,L46/H46)</f>
        <v>-1</v>
      </c>
      <c r="O46" s="14"/>
      <c r="P46" s="1">
        <f>SUM(OSRRefP22_2x_0)</f>
        <v>390</v>
      </c>
      <c r="Q46" s="1"/>
      <c r="R46" s="5">
        <f t="shared" ref="R46:R66" si="32">IF(P$12=0,0,P46/P$12)</f>
        <v>4.3587808646390665E-3</v>
      </c>
      <c r="S46" s="1"/>
      <c r="T46" s="1">
        <f>SUM(OSRRefT22_2x_0)</f>
        <v>150</v>
      </c>
      <c r="U46" s="1"/>
      <c r="V46" s="5">
        <f t="shared" ref="V46:V66" si="33">IF(T$12=0,0,T46/T$12)</f>
        <v>1.8488161413974585E-3</v>
      </c>
      <c r="W46" s="1"/>
      <c r="X46" s="1">
        <f t="shared" ref="X46:X66" si="34">+P46-T46</f>
        <v>240</v>
      </c>
      <c r="Y46" s="1"/>
      <c r="Z46" s="5">
        <f t="shared" ref="Z46:Z66" si="35">IF(T46=0,0,X46/T46)</f>
        <v>1.6</v>
      </c>
    </row>
    <row r="47" spans="1:26" s="24" customFormat="1" hidden="1" outlineLevel="2" x14ac:dyDescent="0.25">
      <c r="A47" s="29"/>
      <c r="B47" s="11" t="str">
        <f>CONCATENATE("          ", "6362", " - ", "ADVERTISING EXPENSE")</f>
        <v xml:space="preserve">          6362 - ADVERTISING EXPENSE</v>
      </c>
      <c r="C47" s="11"/>
      <c r="D47" s="7"/>
      <c r="E47" s="2"/>
      <c r="F47" s="6">
        <f t="shared" si="28"/>
        <v>0</v>
      </c>
      <c r="G47" s="2"/>
      <c r="H47" s="7">
        <v>50</v>
      </c>
      <c r="I47" s="2"/>
      <c r="J47" s="6">
        <f t="shared" si="29"/>
        <v>2.1334698754053591E-3</v>
      </c>
      <c r="K47" s="2"/>
      <c r="L47" s="7">
        <f t="shared" si="30"/>
        <v>-50</v>
      </c>
      <c r="M47" s="2"/>
      <c r="N47" s="6">
        <f t="shared" si="31"/>
        <v>-1</v>
      </c>
      <c r="O47" s="11"/>
      <c r="P47" s="7">
        <v>390</v>
      </c>
      <c r="Q47" s="2"/>
      <c r="R47" s="6">
        <f t="shared" si="32"/>
        <v>4.3587808646390665E-3</v>
      </c>
      <c r="S47" s="2"/>
      <c r="T47" s="7">
        <v>150</v>
      </c>
      <c r="U47" s="2"/>
      <c r="V47" s="6">
        <f t="shared" si="33"/>
        <v>1.8488161413974585E-3</v>
      </c>
      <c r="W47" s="2"/>
      <c r="X47" s="7">
        <f t="shared" si="34"/>
        <v>240</v>
      </c>
      <c r="Y47" s="2"/>
      <c r="Z47" s="6">
        <f t="shared" si="35"/>
        <v>1.6</v>
      </c>
    </row>
    <row r="48" spans="1:26" s="28" customFormat="1" outlineLevel="1" collapsed="1" x14ac:dyDescent="0.25">
      <c r="A48" s="27"/>
      <c r="B48" s="14" t="str">
        <f>CONCATENATE("     ","Bad Debts/Over/Short                              ")</f>
        <v xml:space="preserve">     Bad Debts/Over/Short                              </v>
      </c>
      <c r="C48" s="14"/>
      <c r="D48" s="1">
        <f>SUM(OSRRefD22_3x_0)</f>
        <v>1.03</v>
      </c>
      <c r="E48" s="1"/>
      <c r="F48" s="5">
        <f t="shared" si="28"/>
        <v>4.5517820447665554E-5</v>
      </c>
      <c r="G48" s="1"/>
      <c r="H48" s="1">
        <f>SUM(OSRRefH22_3x_0)</f>
        <v>10</v>
      </c>
      <c r="I48" s="1"/>
      <c r="J48" s="5">
        <f t="shared" si="29"/>
        <v>4.2669397508107184E-4</v>
      </c>
      <c r="K48" s="1"/>
      <c r="L48" s="1">
        <f t="shared" si="30"/>
        <v>-8.9700000000000006</v>
      </c>
      <c r="M48" s="1"/>
      <c r="N48" s="5">
        <f t="shared" si="31"/>
        <v>-0.89700000000000002</v>
      </c>
      <c r="O48" s="14"/>
      <c r="P48" s="1">
        <f>SUM(OSRRefP22_3x_0)</f>
        <v>1.7</v>
      </c>
      <c r="Q48" s="1"/>
      <c r="R48" s="5">
        <f t="shared" si="32"/>
        <v>1.8999814025349774E-5</v>
      </c>
      <c r="S48" s="1"/>
      <c r="T48" s="1">
        <f>SUM(OSRRefT22_3x_0)</f>
        <v>30</v>
      </c>
      <c r="U48" s="1"/>
      <c r="V48" s="5">
        <f t="shared" si="33"/>
        <v>3.6976322827949172E-4</v>
      </c>
      <c r="W48" s="1"/>
      <c r="X48" s="1">
        <f t="shared" si="34"/>
        <v>-28.3</v>
      </c>
      <c r="Y48" s="1"/>
      <c r="Z48" s="5">
        <f t="shared" si="35"/>
        <v>-0.94333333333333336</v>
      </c>
    </row>
    <row r="49" spans="1:26" s="24" customFormat="1" hidden="1" outlineLevel="2" x14ac:dyDescent="0.25">
      <c r="A49" s="29"/>
      <c r="B49" s="11" t="str">
        <f>CONCATENATE("          ", "6272", " - ", "CASH (OVER/SHORT)")</f>
        <v xml:space="preserve">          6272 - CASH (OVER/SHORT)</v>
      </c>
      <c r="C49" s="11"/>
      <c r="D49" s="7">
        <v>1.03</v>
      </c>
      <c r="E49" s="2"/>
      <c r="F49" s="6">
        <f t="shared" si="28"/>
        <v>4.5517820447665554E-5</v>
      </c>
      <c r="G49" s="2"/>
      <c r="H49" s="7">
        <v>10</v>
      </c>
      <c r="I49" s="2"/>
      <c r="J49" s="6">
        <f t="shared" si="29"/>
        <v>4.2669397508107184E-4</v>
      </c>
      <c r="K49" s="2"/>
      <c r="L49" s="7">
        <f t="shared" si="30"/>
        <v>-8.9700000000000006</v>
      </c>
      <c r="M49" s="2"/>
      <c r="N49" s="6">
        <f t="shared" si="31"/>
        <v>-0.89700000000000002</v>
      </c>
      <c r="O49" s="11"/>
      <c r="P49" s="7">
        <v>1.7</v>
      </c>
      <c r="Q49" s="2"/>
      <c r="R49" s="6">
        <f t="shared" si="32"/>
        <v>1.8999814025349774E-5</v>
      </c>
      <c r="S49" s="2"/>
      <c r="T49" s="7">
        <v>30</v>
      </c>
      <c r="U49" s="2"/>
      <c r="V49" s="6">
        <f t="shared" si="33"/>
        <v>3.6976322827949172E-4</v>
      </c>
      <c r="W49" s="2"/>
      <c r="X49" s="7">
        <f t="shared" si="34"/>
        <v>-28.3</v>
      </c>
      <c r="Y49" s="2"/>
      <c r="Z49" s="6">
        <f t="shared" si="35"/>
        <v>-0.94333333333333336</v>
      </c>
    </row>
    <row r="50" spans="1:26" s="28" customFormat="1" outlineLevel="1" collapsed="1" x14ac:dyDescent="0.25">
      <c r="A50" s="27"/>
      <c r="B50" s="14" t="str">
        <f>CONCATENATE("     ","Bank/card Fees                                    ")</f>
        <v xml:space="preserve">     Bank/card Fees                                    </v>
      </c>
      <c r="C50" s="14"/>
      <c r="D50" s="1">
        <f>SUM(OSRRefD22_4x_0)</f>
        <v>395.45</v>
      </c>
      <c r="E50" s="1"/>
      <c r="F50" s="5">
        <f t="shared" si="28"/>
        <v>1.7475749607795479E-2</v>
      </c>
      <c r="G50" s="1"/>
      <c r="H50" s="1">
        <f>SUM(OSRRefH22_4x_0)</f>
        <v>444</v>
      </c>
      <c r="I50" s="1"/>
      <c r="J50" s="5">
        <f t="shared" si="29"/>
        <v>1.8945212493599591E-2</v>
      </c>
      <c r="K50" s="1"/>
      <c r="L50" s="1">
        <f t="shared" si="30"/>
        <v>-48.550000000000011</v>
      </c>
      <c r="M50" s="1"/>
      <c r="N50" s="5">
        <f t="shared" si="31"/>
        <v>-0.10934684684684687</v>
      </c>
      <c r="O50" s="14"/>
      <c r="P50" s="1">
        <f>SUM(OSRRefP22_4x_0)</f>
        <v>1501.98</v>
      </c>
      <c r="Q50" s="1"/>
      <c r="R50" s="5">
        <f t="shared" si="32"/>
        <v>1.6786670982232268E-2</v>
      </c>
      <c r="S50" s="1"/>
      <c r="T50" s="1">
        <f>SUM(OSRRefT22_4x_0)</f>
        <v>1548</v>
      </c>
      <c r="U50" s="1"/>
      <c r="V50" s="5">
        <f t="shared" si="33"/>
        <v>1.9079782579221771E-2</v>
      </c>
      <c r="W50" s="1"/>
      <c r="X50" s="1">
        <f t="shared" si="34"/>
        <v>-46.019999999999982</v>
      </c>
      <c r="Y50" s="1"/>
      <c r="Z50" s="5">
        <f t="shared" si="35"/>
        <v>-2.9728682170542624E-2</v>
      </c>
    </row>
    <row r="51" spans="1:26" s="24" customFormat="1" hidden="1" outlineLevel="2" x14ac:dyDescent="0.25">
      <c r="A51" s="29"/>
      <c r="B51" s="11" t="str">
        <f>CONCATENATE("          ", "6381", " - ", "BANK/CREDIT CARD FEES")</f>
        <v xml:space="preserve">          6381 - BANK/CREDIT CARD FEES</v>
      </c>
      <c r="C51" s="11"/>
      <c r="D51" s="7">
        <v>395.45</v>
      </c>
      <c r="E51" s="2"/>
      <c r="F51" s="6">
        <f t="shared" si="28"/>
        <v>1.7475749607795479E-2</v>
      </c>
      <c r="G51" s="2"/>
      <c r="H51" s="7">
        <v>444</v>
      </c>
      <c r="I51" s="2"/>
      <c r="J51" s="6">
        <f t="shared" si="29"/>
        <v>1.8945212493599591E-2</v>
      </c>
      <c r="K51" s="2"/>
      <c r="L51" s="7">
        <f t="shared" si="30"/>
        <v>-48.550000000000011</v>
      </c>
      <c r="M51" s="2"/>
      <c r="N51" s="6">
        <f t="shared" si="31"/>
        <v>-0.10934684684684687</v>
      </c>
      <c r="O51" s="11"/>
      <c r="P51" s="7">
        <v>1501.98</v>
      </c>
      <c r="Q51" s="2"/>
      <c r="R51" s="6">
        <f t="shared" si="32"/>
        <v>1.6786670982232268E-2</v>
      </c>
      <c r="S51" s="2"/>
      <c r="T51" s="7">
        <v>1548</v>
      </c>
      <c r="U51" s="2"/>
      <c r="V51" s="6">
        <f t="shared" si="33"/>
        <v>1.9079782579221771E-2</v>
      </c>
      <c r="W51" s="2"/>
      <c r="X51" s="7">
        <f t="shared" si="34"/>
        <v>-46.019999999999982</v>
      </c>
      <c r="Y51" s="2"/>
      <c r="Z51" s="6">
        <f t="shared" si="35"/>
        <v>-2.9728682170542624E-2</v>
      </c>
    </row>
    <row r="52" spans="1:26" s="28" customFormat="1" outlineLevel="1" collapsed="1" x14ac:dyDescent="0.25">
      <c r="A52" s="27"/>
      <c r="B52" s="14" t="str">
        <f>CONCATENATE("     ","Employees' Appreciation                           ")</f>
        <v xml:space="preserve">     Employees' Appreciation                           </v>
      </c>
      <c r="C52" s="14"/>
      <c r="D52" s="1">
        <f>SUM(OSRRefD22_5x_0)</f>
        <v>0</v>
      </c>
      <c r="E52" s="1"/>
      <c r="F52" s="5">
        <f t="shared" si="28"/>
        <v>0</v>
      </c>
      <c r="G52" s="1"/>
      <c r="H52" s="1">
        <f>SUM(OSRRefH22_5x_0)</f>
        <v>25</v>
      </c>
      <c r="I52" s="1"/>
      <c r="J52" s="5">
        <f t="shared" si="29"/>
        <v>1.0667349377026796E-3</v>
      </c>
      <c r="K52" s="1"/>
      <c r="L52" s="1">
        <f t="shared" si="30"/>
        <v>-25</v>
      </c>
      <c r="M52" s="1"/>
      <c r="N52" s="5">
        <f t="shared" si="31"/>
        <v>-1</v>
      </c>
      <c r="O52" s="14"/>
      <c r="P52" s="1">
        <f>SUM(OSRRefP22_5x_0)</f>
        <v>0</v>
      </c>
      <c r="Q52" s="1"/>
      <c r="R52" s="5">
        <f t="shared" si="32"/>
        <v>0</v>
      </c>
      <c r="S52" s="1"/>
      <c r="T52" s="1">
        <f>SUM(OSRRefT22_5x_0)</f>
        <v>75</v>
      </c>
      <c r="U52" s="1"/>
      <c r="V52" s="5">
        <f t="shared" si="33"/>
        <v>9.2440807069872925E-4</v>
      </c>
      <c r="W52" s="1"/>
      <c r="X52" s="1">
        <f t="shared" si="34"/>
        <v>-75</v>
      </c>
      <c r="Y52" s="1"/>
      <c r="Z52" s="5">
        <f t="shared" si="35"/>
        <v>-1</v>
      </c>
    </row>
    <row r="53" spans="1:26" s="24" customFormat="1" hidden="1" outlineLevel="2" x14ac:dyDescent="0.25">
      <c r="A53" s="29"/>
      <c r="B53" s="11" t="str">
        <f>CONCATENATE("          ", "6277", " - ", "EMPLOYEE APPRECIATION")</f>
        <v xml:space="preserve">          6277 - EMPLOYEE APPRECIATION</v>
      </c>
      <c r="C53" s="11"/>
      <c r="D53" s="7"/>
      <c r="E53" s="2"/>
      <c r="F53" s="6">
        <f t="shared" si="28"/>
        <v>0</v>
      </c>
      <c r="G53" s="2"/>
      <c r="H53" s="7">
        <v>25</v>
      </c>
      <c r="I53" s="2"/>
      <c r="J53" s="6">
        <f t="shared" si="29"/>
        <v>1.0667349377026796E-3</v>
      </c>
      <c r="K53" s="2"/>
      <c r="L53" s="7">
        <f t="shared" si="30"/>
        <v>-25</v>
      </c>
      <c r="M53" s="2"/>
      <c r="N53" s="6">
        <f t="shared" si="31"/>
        <v>-1</v>
      </c>
      <c r="O53" s="11"/>
      <c r="P53" s="7"/>
      <c r="Q53" s="2"/>
      <c r="R53" s="6">
        <f t="shared" si="32"/>
        <v>0</v>
      </c>
      <c r="S53" s="2"/>
      <c r="T53" s="7">
        <v>75</v>
      </c>
      <c r="U53" s="2"/>
      <c r="V53" s="6">
        <f t="shared" si="33"/>
        <v>9.2440807069872925E-4</v>
      </c>
      <c r="W53" s="2"/>
      <c r="X53" s="7">
        <f t="shared" si="34"/>
        <v>-75</v>
      </c>
      <c r="Y53" s="2"/>
      <c r="Z53" s="6">
        <f t="shared" si="35"/>
        <v>-1</v>
      </c>
    </row>
    <row r="54" spans="1:26" s="28" customFormat="1" outlineLevel="1" collapsed="1" x14ac:dyDescent="0.25">
      <c r="A54" s="27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SUM(OSRRefD22_6x_0)</f>
        <v>0</v>
      </c>
      <c r="E54" s="1"/>
      <c r="F54" s="5">
        <f t="shared" si="28"/>
        <v>0</v>
      </c>
      <c r="G54" s="1"/>
      <c r="H54" s="1">
        <f>SUM(OSRRefH22_6x_0)</f>
        <v>0</v>
      </c>
      <c r="I54" s="1"/>
      <c r="J54" s="5">
        <f t="shared" si="29"/>
        <v>0</v>
      </c>
      <c r="K54" s="1"/>
      <c r="L54" s="1">
        <f t="shared" si="30"/>
        <v>0</v>
      </c>
      <c r="M54" s="1"/>
      <c r="N54" s="5">
        <f t="shared" si="31"/>
        <v>0</v>
      </c>
      <c r="O54" s="14"/>
      <c r="P54" s="1">
        <f>SUM(OSRRefP22_6x_0)</f>
        <v>0</v>
      </c>
      <c r="Q54" s="1"/>
      <c r="R54" s="5">
        <f t="shared" si="32"/>
        <v>0</v>
      </c>
      <c r="S54" s="1"/>
      <c r="T54" s="1">
        <f>SUM(OSRRefT22_6x_0)</f>
        <v>125</v>
      </c>
      <c r="U54" s="1"/>
      <c r="V54" s="5">
        <f t="shared" si="33"/>
        <v>1.5406801178312155E-3</v>
      </c>
      <c r="W54" s="1"/>
      <c r="X54" s="1">
        <f t="shared" si="34"/>
        <v>-125</v>
      </c>
      <c r="Y54" s="1"/>
      <c r="Z54" s="5">
        <f t="shared" si="35"/>
        <v>-1</v>
      </c>
    </row>
    <row r="55" spans="1:26" s="24" customFormat="1" hidden="1" outlineLevel="2" x14ac:dyDescent="0.25">
      <c r="A55" s="29"/>
      <c r="B55" s="11" t="str">
        <f>CONCATENATE("          ", "6276", " - ", "PROPERTY TAX")</f>
        <v xml:space="preserve">          6276 - PROPERTY TAX</v>
      </c>
      <c r="C55" s="11"/>
      <c r="D55" s="7"/>
      <c r="E55" s="2"/>
      <c r="F55" s="6">
        <f t="shared" si="28"/>
        <v>0</v>
      </c>
      <c r="G55" s="2"/>
      <c r="H55" s="7"/>
      <c r="I55" s="2"/>
      <c r="J55" s="6">
        <f t="shared" si="29"/>
        <v>0</v>
      </c>
      <c r="K55" s="2"/>
      <c r="L55" s="7">
        <f t="shared" si="30"/>
        <v>0</v>
      </c>
      <c r="M55" s="2"/>
      <c r="N55" s="6">
        <f t="shared" si="31"/>
        <v>0</v>
      </c>
      <c r="O55" s="11"/>
      <c r="P55" s="7"/>
      <c r="Q55" s="2"/>
      <c r="R55" s="6">
        <f t="shared" si="32"/>
        <v>0</v>
      </c>
      <c r="S55" s="2"/>
      <c r="T55" s="7">
        <v>125</v>
      </c>
      <c r="U55" s="2"/>
      <c r="V55" s="6">
        <f t="shared" si="33"/>
        <v>1.5406801178312155E-3</v>
      </c>
      <c r="W55" s="2"/>
      <c r="X55" s="7">
        <f t="shared" si="34"/>
        <v>-125</v>
      </c>
      <c r="Y55" s="2"/>
      <c r="Z55" s="6">
        <f t="shared" si="35"/>
        <v>-1</v>
      </c>
    </row>
    <row r="56" spans="1:26" s="28" customFormat="1" outlineLevel="1" collapsed="1" x14ac:dyDescent="0.25">
      <c r="A56" s="27"/>
      <c r="B56" s="14" t="str">
        <f>CONCATENATE("     ","Insurance                                         ")</f>
        <v xml:space="preserve">     Insurance                                         </v>
      </c>
      <c r="C56" s="14"/>
      <c r="D56" s="1">
        <f>SUM(OSRRefD22_7x_0)</f>
        <v>219.08</v>
      </c>
      <c r="E56" s="1"/>
      <c r="F56" s="5">
        <f t="shared" si="28"/>
        <v>9.6815962171597769E-3</v>
      </c>
      <c r="G56" s="1"/>
      <c r="H56" s="1">
        <f>SUM(OSRRefH22_7x_0)</f>
        <v>175</v>
      </c>
      <c r="I56" s="1"/>
      <c r="J56" s="5">
        <f t="shared" si="29"/>
        <v>7.4671445639187574E-3</v>
      </c>
      <c r="K56" s="1"/>
      <c r="L56" s="1">
        <f t="shared" si="30"/>
        <v>44.080000000000013</v>
      </c>
      <c r="M56" s="1"/>
      <c r="N56" s="5">
        <f t="shared" si="31"/>
        <v>0.25188571428571438</v>
      </c>
      <c r="O56" s="14"/>
      <c r="P56" s="1">
        <f>SUM(OSRRefP22_7x_0)</f>
        <v>657.24</v>
      </c>
      <c r="Q56" s="1"/>
      <c r="R56" s="5">
        <f t="shared" si="32"/>
        <v>7.3455516294240507E-3</v>
      </c>
      <c r="S56" s="1"/>
      <c r="T56" s="1">
        <f>SUM(OSRRefT22_7x_0)</f>
        <v>525</v>
      </c>
      <c r="U56" s="1"/>
      <c r="V56" s="5">
        <f t="shared" si="33"/>
        <v>6.4708564948911043E-3</v>
      </c>
      <c r="W56" s="1"/>
      <c r="X56" s="1">
        <f t="shared" si="34"/>
        <v>132.24</v>
      </c>
      <c r="Y56" s="1"/>
      <c r="Z56" s="5">
        <f t="shared" si="35"/>
        <v>0.25188571428571432</v>
      </c>
    </row>
    <row r="57" spans="1:26" s="24" customFormat="1" hidden="1" outlineLevel="2" x14ac:dyDescent="0.25">
      <c r="A57" s="29"/>
      <c r="B57" s="11" t="str">
        <f>CONCATENATE("          ", "6314", " - ", "LIABILITY INSURANCE")</f>
        <v xml:space="preserve">          6314 - LIABILITY INSURANCE</v>
      </c>
      <c r="C57" s="11"/>
      <c r="D57" s="7">
        <v>219.08</v>
      </c>
      <c r="E57" s="2"/>
      <c r="F57" s="6">
        <f t="shared" si="28"/>
        <v>9.6815962171597769E-3</v>
      </c>
      <c r="G57" s="2"/>
      <c r="H57" s="7">
        <v>175</v>
      </c>
      <c r="I57" s="2"/>
      <c r="J57" s="6">
        <f t="shared" si="29"/>
        <v>7.4671445639187574E-3</v>
      </c>
      <c r="K57" s="2"/>
      <c r="L57" s="7">
        <f t="shared" si="30"/>
        <v>44.080000000000013</v>
      </c>
      <c r="M57" s="2"/>
      <c r="N57" s="6">
        <f t="shared" si="31"/>
        <v>0.25188571428571438</v>
      </c>
      <c r="O57" s="11"/>
      <c r="P57" s="7">
        <v>657.24</v>
      </c>
      <c r="Q57" s="2"/>
      <c r="R57" s="6">
        <f t="shared" si="32"/>
        <v>7.3455516294240507E-3</v>
      </c>
      <c r="S57" s="2"/>
      <c r="T57" s="7">
        <v>525</v>
      </c>
      <c r="U57" s="2"/>
      <c r="V57" s="6">
        <f t="shared" si="33"/>
        <v>6.4708564948911043E-3</v>
      </c>
      <c r="W57" s="2"/>
      <c r="X57" s="7">
        <f t="shared" si="34"/>
        <v>132.24</v>
      </c>
      <c r="Y57" s="2"/>
      <c r="Z57" s="6">
        <f t="shared" si="35"/>
        <v>0.25188571428571432</v>
      </c>
    </row>
    <row r="58" spans="1:26" s="28" customFormat="1" outlineLevel="1" collapsed="1" x14ac:dyDescent="0.25">
      <c r="A58" s="27"/>
      <c r="B58" s="14" t="str">
        <f>CONCATENATE("     ","Inventory Adjustment                              ")</f>
        <v xml:space="preserve">     Inventory Adjustment                              </v>
      </c>
      <c r="C58" s="14"/>
      <c r="D58" s="1">
        <f>SUM(OSRRefD22_8x_0)</f>
        <v>100</v>
      </c>
      <c r="E58" s="1"/>
      <c r="F58" s="5">
        <f t="shared" si="28"/>
        <v>4.4192058687053939E-3</v>
      </c>
      <c r="G58" s="1"/>
      <c r="H58" s="1">
        <f>SUM(OSRRefH22_8x_0)</f>
        <v>100</v>
      </c>
      <c r="I58" s="1"/>
      <c r="J58" s="5">
        <f t="shared" si="29"/>
        <v>4.2669397508107183E-3</v>
      </c>
      <c r="K58" s="1"/>
      <c r="L58" s="1">
        <f t="shared" si="30"/>
        <v>0</v>
      </c>
      <c r="M58" s="1"/>
      <c r="N58" s="5">
        <f t="shared" si="31"/>
        <v>0</v>
      </c>
      <c r="O58" s="14"/>
      <c r="P58" s="1">
        <f>SUM(OSRRefP22_8x_0)</f>
        <v>300</v>
      </c>
      <c r="Q58" s="1"/>
      <c r="R58" s="5">
        <f t="shared" si="32"/>
        <v>3.3529083574146664E-3</v>
      </c>
      <c r="S58" s="1"/>
      <c r="T58" s="1">
        <f>SUM(OSRRefT22_8x_0)</f>
        <v>300</v>
      </c>
      <c r="U58" s="1"/>
      <c r="V58" s="5">
        <f t="shared" si="33"/>
        <v>3.697632282794917E-3</v>
      </c>
      <c r="W58" s="1"/>
      <c r="X58" s="1">
        <f t="shared" si="34"/>
        <v>0</v>
      </c>
      <c r="Y58" s="1"/>
      <c r="Z58" s="5">
        <f t="shared" si="35"/>
        <v>0</v>
      </c>
    </row>
    <row r="59" spans="1:26" s="24" customFormat="1" hidden="1" outlineLevel="2" x14ac:dyDescent="0.25">
      <c r="A59" s="29"/>
      <c r="B59" s="11" t="str">
        <f>CONCATENATE("          ", "6408", " - ", "INVENTORY ADJUSTMENT")</f>
        <v xml:space="preserve">          6408 - INVENTORY ADJUSTMENT</v>
      </c>
      <c r="C59" s="11"/>
      <c r="D59" s="7">
        <v>100</v>
      </c>
      <c r="E59" s="2"/>
      <c r="F59" s="6">
        <f t="shared" si="28"/>
        <v>4.4192058687053939E-3</v>
      </c>
      <c r="G59" s="2"/>
      <c r="H59" s="7">
        <v>100</v>
      </c>
      <c r="I59" s="2"/>
      <c r="J59" s="6">
        <f t="shared" si="29"/>
        <v>4.2669397508107183E-3</v>
      </c>
      <c r="K59" s="2"/>
      <c r="L59" s="7">
        <f t="shared" si="30"/>
        <v>0</v>
      </c>
      <c r="M59" s="2"/>
      <c r="N59" s="6">
        <f t="shared" si="31"/>
        <v>0</v>
      </c>
      <c r="O59" s="11"/>
      <c r="P59" s="7">
        <v>300</v>
      </c>
      <c r="Q59" s="2"/>
      <c r="R59" s="6">
        <f t="shared" si="32"/>
        <v>3.3529083574146664E-3</v>
      </c>
      <c r="S59" s="2"/>
      <c r="T59" s="7">
        <v>300</v>
      </c>
      <c r="U59" s="2"/>
      <c r="V59" s="6">
        <f t="shared" si="33"/>
        <v>3.697632282794917E-3</v>
      </c>
      <c r="W59" s="2"/>
      <c r="X59" s="7">
        <f t="shared" si="34"/>
        <v>0</v>
      </c>
      <c r="Y59" s="2"/>
      <c r="Z59" s="6">
        <f t="shared" si="35"/>
        <v>0</v>
      </c>
    </row>
    <row r="60" spans="1:26" s="28" customFormat="1" outlineLevel="1" collapsed="1" x14ac:dyDescent="0.25">
      <c r="A60" s="27"/>
      <c r="B60" s="14" t="str">
        <f>CONCATENATE("     ","Professional Services                             ")</f>
        <v xml:space="preserve">     Professional Services                             </v>
      </c>
      <c r="C60" s="14"/>
      <c r="D60" s="1">
        <f>SUM(OSRRefD22_9x_0)</f>
        <v>0</v>
      </c>
      <c r="E60" s="1"/>
      <c r="F60" s="5">
        <f t="shared" si="28"/>
        <v>0</v>
      </c>
      <c r="G60" s="1"/>
      <c r="H60" s="1">
        <f>SUM(OSRRefH22_9x_0)</f>
        <v>0</v>
      </c>
      <c r="I60" s="1"/>
      <c r="J60" s="5">
        <f t="shared" si="29"/>
        <v>0</v>
      </c>
      <c r="K60" s="1"/>
      <c r="L60" s="1">
        <f t="shared" si="30"/>
        <v>0</v>
      </c>
      <c r="M60" s="1"/>
      <c r="N60" s="5">
        <f t="shared" si="31"/>
        <v>0</v>
      </c>
      <c r="O60" s="14"/>
      <c r="P60" s="1">
        <f>SUM(OSRRefP22_9x_0)</f>
        <v>0</v>
      </c>
      <c r="Q60" s="1"/>
      <c r="R60" s="5">
        <f t="shared" si="32"/>
        <v>0</v>
      </c>
      <c r="S60" s="1"/>
      <c r="T60" s="1">
        <f>SUM(OSRRefT22_9x_0)</f>
        <v>750</v>
      </c>
      <c r="U60" s="1"/>
      <c r="V60" s="5">
        <f t="shared" si="33"/>
        <v>9.2440807069872916E-3</v>
      </c>
      <c r="W60" s="1"/>
      <c r="X60" s="1">
        <f t="shared" si="34"/>
        <v>-750</v>
      </c>
      <c r="Y60" s="1"/>
      <c r="Z60" s="5">
        <f t="shared" si="35"/>
        <v>-1</v>
      </c>
    </row>
    <row r="61" spans="1:26" s="24" customFormat="1" hidden="1" outlineLevel="2" x14ac:dyDescent="0.25">
      <c r="A61" s="29"/>
      <c r="B61" s="11" t="str">
        <f>CONCATENATE("          ", "6336", " - ", "PROFESSIONAL SERVICES")</f>
        <v xml:space="preserve">          6336 - PROFESSIONAL SERVICES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/>
      <c r="Q61" s="2"/>
      <c r="R61" s="6">
        <f t="shared" si="32"/>
        <v>0</v>
      </c>
      <c r="S61" s="2"/>
      <c r="T61" s="7">
        <v>750</v>
      </c>
      <c r="U61" s="2"/>
      <c r="V61" s="6">
        <f t="shared" si="33"/>
        <v>9.2440807069872916E-3</v>
      </c>
      <c r="W61" s="2"/>
      <c r="X61" s="7">
        <f t="shared" si="34"/>
        <v>-750</v>
      </c>
      <c r="Y61" s="2"/>
      <c r="Z61" s="6">
        <f t="shared" si="35"/>
        <v>-1</v>
      </c>
    </row>
    <row r="62" spans="1:26" s="28" customFormat="1" outlineLevel="1" collapsed="1" x14ac:dyDescent="0.25">
      <c r="A62" s="27"/>
      <c r="B62" s="14" t="str">
        <f>CONCATENATE("     ","Rent                                              ")</f>
        <v xml:space="preserve">     Rent                                              </v>
      </c>
      <c r="C62" s="14"/>
      <c r="D62" s="1">
        <f>SUM(OSRRefD22_10x_0)</f>
        <v>6900</v>
      </c>
      <c r="E62" s="1"/>
      <c r="F62" s="5">
        <f t="shared" si="28"/>
        <v>0.30492520494067216</v>
      </c>
      <c r="G62" s="1"/>
      <c r="H62" s="1">
        <f>SUM(OSRRefH22_10x_0)</f>
        <v>6900</v>
      </c>
      <c r="I62" s="1"/>
      <c r="J62" s="5">
        <f t="shared" si="29"/>
        <v>0.29441884280593961</v>
      </c>
      <c r="K62" s="1"/>
      <c r="L62" s="1">
        <f t="shared" si="30"/>
        <v>0</v>
      </c>
      <c r="M62" s="1"/>
      <c r="N62" s="5">
        <f t="shared" si="31"/>
        <v>0</v>
      </c>
      <c r="O62" s="14"/>
      <c r="P62" s="1">
        <f>SUM(OSRRefP22_10x_0)</f>
        <v>20700</v>
      </c>
      <c r="Q62" s="1"/>
      <c r="R62" s="5">
        <f t="shared" si="32"/>
        <v>0.23135067666161196</v>
      </c>
      <c r="S62" s="1"/>
      <c r="T62" s="1">
        <f>SUM(OSRRefT22_10x_0)</f>
        <v>20700</v>
      </c>
      <c r="U62" s="1"/>
      <c r="V62" s="5">
        <f t="shared" si="33"/>
        <v>0.25513662751284927</v>
      </c>
      <c r="W62" s="1"/>
      <c r="X62" s="1">
        <f t="shared" si="34"/>
        <v>0</v>
      </c>
      <c r="Y62" s="1"/>
      <c r="Z62" s="5">
        <f t="shared" si="35"/>
        <v>0</v>
      </c>
    </row>
    <row r="63" spans="1:26" s="24" customFormat="1" hidden="1" outlineLevel="2" x14ac:dyDescent="0.25">
      <c r="A63" s="29"/>
      <c r="B63" s="11" t="str">
        <f>CONCATENATE("          ", "6273", " - ", "RENT")</f>
        <v xml:space="preserve">          6273 - RENT</v>
      </c>
      <c r="C63" s="11"/>
      <c r="D63" s="7">
        <v>6900</v>
      </c>
      <c r="E63" s="2"/>
      <c r="F63" s="6">
        <f t="shared" si="28"/>
        <v>0.30492520494067216</v>
      </c>
      <c r="G63" s="2"/>
      <c r="H63" s="7">
        <v>6900</v>
      </c>
      <c r="I63" s="2"/>
      <c r="J63" s="6">
        <f t="shared" si="29"/>
        <v>0.29441884280593961</v>
      </c>
      <c r="K63" s="2"/>
      <c r="L63" s="7">
        <f t="shared" si="30"/>
        <v>0</v>
      </c>
      <c r="M63" s="2"/>
      <c r="N63" s="6">
        <f t="shared" si="31"/>
        <v>0</v>
      </c>
      <c r="O63" s="11"/>
      <c r="P63" s="7">
        <v>20700</v>
      </c>
      <c r="Q63" s="2"/>
      <c r="R63" s="6">
        <f t="shared" si="32"/>
        <v>0.23135067666161196</v>
      </c>
      <c r="S63" s="2"/>
      <c r="T63" s="7">
        <v>20700</v>
      </c>
      <c r="U63" s="2"/>
      <c r="V63" s="6">
        <f t="shared" si="33"/>
        <v>0.25513662751284927</v>
      </c>
      <c r="W63" s="2"/>
      <c r="X63" s="7">
        <f t="shared" si="34"/>
        <v>0</v>
      </c>
      <c r="Y63" s="2"/>
      <c r="Z63" s="6">
        <f t="shared" si="35"/>
        <v>0</v>
      </c>
    </row>
    <row r="64" spans="1:26" s="28" customFormat="1" outlineLevel="1" collapsed="1" x14ac:dyDescent="0.25">
      <c r="A64" s="27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SUM(OSRRefD22_11x_0)</f>
        <v>230.9</v>
      </c>
      <c r="E64" s="1"/>
      <c r="F64" s="5">
        <f t="shared" si="28"/>
        <v>1.0203946350840754E-2</v>
      </c>
      <c r="G64" s="1"/>
      <c r="H64" s="1">
        <f>SUM(OSRRefH22_11x_0)</f>
        <v>115</v>
      </c>
      <c r="I64" s="1"/>
      <c r="J64" s="5">
        <f t="shared" si="29"/>
        <v>4.9069807134323263E-3</v>
      </c>
      <c r="K64" s="1"/>
      <c r="L64" s="1">
        <f t="shared" si="30"/>
        <v>115.9</v>
      </c>
      <c r="M64" s="1"/>
      <c r="N64" s="5">
        <f t="shared" si="31"/>
        <v>1.0078260869565219</v>
      </c>
      <c r="O64" s="14"/>
      <c r="P64" s="1">
        <f>SUM(OSRRefP22_11x_0)</f>
        <v>1003.72</v>
      </c>
      <c r="Q64" s="1"/>
      <c r="R64" s="5">
        <f t="shared" si="32"/>
        <v>1.1217937255014163E-2</v>
      </c>
      <c r="S64" s="1"/>
      <c r="T64" s="1">
        <f>SUM(OSRRefT22_11x_0)</f>
        <v>345</v>
      </c>
      <c r="U64" s="1"/>
      <c r="V64" s="5">
        <f t="shared" si="33"/>
        <v>4.2522771252141546E-3</v>
      </c>
      <c r="W64" s="1"/>
      <c r="X64" s="1">
        <f t="shared" si="34"/>
        <v>658.72</v>
      </c>
      <c r="Y64" s="1"/>
      <c r="Z64" s="5">
        <f t="shared" si="35"/>
        <v>1.9093333333333333</v>
      </c>
    </row>
    <row r="65" spans="1:26" s="24" customFormat="1" hidden="1" outlineLevel="2" x14ac:dyDescent="0.25">
      <c r="A65" s="29"/>
      <c r="B65" s="11" t="str">
        <f>CONCATENATE("          ", "6373", " - ", "MAINTENANCE CONTRACTS")</f>
        <v xml:space="preserve">          6373 - MAINTENANCE CONTRACTS</v>
      </c>
      <c r="C65" s="11"/>
      <c r="D65" s="7">
        <v>230.9</v>
      </c>
      <c r="E65" s="2"/>
      <c r="F65" s="6">
        <f t="shared" si="28"/>
        <v>1.0203946350840754E-2</v>
      </c>
      <c r="G65" s="2"/>
      <c r="H65" s="7">
        <v>115</v>
      </c>
      <c r="I65" s="2"/>
      <c r="J65" s="6">
        <f t="shared" si="29"/>
        <v>4.9069807134323263E-3</v>
      </c>
      <c r="K65" s="2"/>
      <c r="L65" s="7">
        <f t="shared" si="30"/>
        <v>115.9</v>
      </c>
      <c r="M65" s="2"/>
      <c r="N65" s="6">
        <f t="shared" si="31"/>
        <v>1.0078260869565219</v>
      </c>
      <c r="O65" s="11"/>
      <c r="P65" s="7">
        <v>230.9</v>
      </c>
      <c r="Q65" s="2"/>
      <c r="R65" s="6">
        <f t="shared" si="32"/>
        <v>2.5806217990901551E-3</v>
      </c>
      <c r="S65" s="2"/>
      <c r="T65" s="7">
        <v>345</v>
      </c>
      <c r="U65" s="2"/>
      <c r="V65" s="6">
        <f t="shared" si="33"/>
        <v>4.2522771252141546E-3</v>
      </c>
      <c r="W65" s="2"/>
      <c r="X65" s="7">
        <f t="shared" si="34"/>
        <v>-114.1</v>
      </c>
      <c r="Y65" s="2"/>
      <c r="Z65" s="6">
        <f t="shared" si="35"/>
        <v>-0.33072463768115939</v>
      </c>
    </row>
    <row r="66" spans="1:26" s="24" customFormat="1" hidden="1" outlineLevel="2" x14ac:dyDescent="0.25">
      <c r="A66" s="29"/>
      <c r="B66" s="11" t="str">
        <f>CONCATENATE("          ", "6375", " - ", "OUTSIDE REPAIRS &amp; MAINTENANCE")</f>
        <v xml:space="preserve">          6375 - OUTSIDE REPAIRS &amp; MAINTENANCE</v>
      </c>
      <c r="C66" s="11"/>
      <c r="D66" s="7"/>
      <c r="E66" s="2"/>
      <c r="F66" s="6">
        <f t="shared" si="28"/>
        <v>0</v>
      </c>
      <c r="G66" s="2"/>
      <c r="H66" s="7"/>
      <c r="I66" s="2"/>
      <c r="J66" s="6">
        <f t="shared" si="29"/>
        <v>0</v>
      </c>
      <c r="K66" s="2"/>
      <c r="L66" s="7">
        <f t="shared" si="30"/>
        <v>0</v>
      </c>
      <c r="M66" s="2"/>
      <c r="N66" s="6">
        <f t="shared" si="31"/>
        <v>0</v>
      </c>
      <c r="O66" s="11"/>
      <c r="P66" s="7">
        <v>772.82</v>
      </c>
      <c r="Q66" s="2"/>
      <c r="R66" s="6">
        <f t="shared" si="32"/>
        <v>8.6373154559240082E-3</v>
      </c>
      <c r="S66" s="2"/>
      <c r="T66" s="7">
        <v>0</v>
      </c>
      <c r="U66" s="2"/>
      <c r="V66" s="6">
        <f t="shared" si="33"/>
        <v>0</v>
      </c>
      <c r="W66" s="2"/>
      <c r="X66" s="7">
        <f t="shared" si="34"/>
        <v>772.82</v>
      </c>
      <c r="Y66" s="2"/>
      <c r="Z66" s="6">
        <f t="shared" si="35"/>
        <v>0</v>
      </c>
    </row>
    <row r="67" spans="1:26" s="28" customFormat="1" outlineLevel="1" collapsed="1" x14ac:dyDescent="0.25">
      <c r="A67" s="27"/>
      <c r="B67" s="14" t="str">
        <f>CONCATENATE("     ","Services                                          ")</f>
        <v xml:space="preserve">     Services                                          </v>
      </c>
      <c r="C67" s="14"/>
      <c r="D67" s="1">
        <f>SUM(OSRRefD22_12x_0)</f>
        <v>162.72</v>
      </c>
      <c r="E67" s="1"/>
      <c r="F67" s="5">
        <f t="shared" ref="F67:F69" si="36">IF(D$12=0,0,D67/D$12)</f>
        <v>7.1909317895574162E-3</v>
      </c>
      <c r="G67" s="1"/>
      <c r="H67" s="1">
        <f>SUM(OSRRefH22_12x_0)</f>
        <v>120</v>
      </c>
      <c r="I67" s="1"/>
      <c r="J67" s="5">
        <f t="shared" ref="J67:J69" si="37">IF(H$12=0,0,H67/H$12)</f>
        <v>5.1203277009728623E-3</v>
      </c>
      <c r="K67" s="1"/>
      <c r="L67" s="1">
        <f t="shared" ref="L67:L69" si="38">+D67-H67</f>
        <v>42.72</v>
      </c>
      <c r="M67" s="1"/>
      <c r="N67" s="5">
        <f t="shared" ref="N67:N69" si="39">IF(H67=0,0,L67/H67)</f>
        <v>0.35599999999999998</v>
      </c>
      <c r="O67" s="14"/>
      <c r="P67" s="1">
        <f>SUM(OSRRefP22_12x_0)</f>
        <v>481.03000000000003</v>
      </c>
      <c r="Q67" s="1"/>
      <c r="R67" s="5">
        <f t="shared" ref="R67:R69" si="40">IF(P$12=0,0,P67/P$12)</f>
        <v>5.3761650238905905E-3</v>
      </c>
      <c r="S67" s="1"/>
      <c r="T67" s="1">
        <f>SUM(OSRRefT22_12x_0)</f>
        <v>240</v>
      </c>
      <c r="U67" s="1"/>
      <c r="V67" s="5">
        <f t="shared" ref="V67:V69" si="41">IF(T$12=0,0,T67/T$12)</f>
        <v>2.9581058262359338E-3</v>
      </c>
      <c r="W67" s="1"/>
      <c r="X67" s="1">
        <f t="shared" ref="X67:X69" si="42">+P67-T67</f>
        <v>241.03000000000003</v>
      </c>
      <c r="Y67" s="1"/>
      <c r="Z67" s="5">
        <f t="shared" ref="Z67:Z69" si="43">IF(T67=0,0,X67/T67)</f>
        <v>1.0042916666666668</v>
      </c>
    </row>
    <row r="68" spans="1:26" s="24" customFormat="1" hidden="1" outlineLevel="2" x14ac:dyDescent="0.25">
      <c r="A68" s="29"/>
      <c r="B68" s="11" t="str">
        <f>CONCATENATE("          ", "6284", " - ", "TRASH REMOVAL EXPENSE")</f>
        <v xml:space="preserve">          6284 - TRASH REMOVAL EXPENSE</v>
      </c>
      <c r="C68" s="11"/>
      <c r="D68" s="7">
        <v>149.69999999999999</v>
      </c>
      <c r="E68" s="2"/>
      <c r="F68" s="6">
        <f t="shared" si="36"/>
        <v>6.615551185451974E-3</v>
      </c>
      <c r="G68" s="2"/>
      <c r="H68" s="7">
        <v>120</v>
      </c>
      <c r="I68" s="2"/>
      <c r="J68" s="6">
        <f t="shared" si="37"/>
        <v>5.1203277009728623E-3</v>
      </c>
      <c r="K68" s="2"/>
      <c r="L68" s="7">
        <f t="shared" si="38"/>
        <v>29.699999999999989</v>
      </c>
      <c r="M68" s="2"/>
      <c r="N68" s="6">
        <f t="shared" si="39"/>
        <v>0.24749999999999991</v>
      </c>
      <c r="O68" s="11"/>
      <c r="P68" s="7">
        <v>441.97</v>
      </c>
      <c r="Q68" s="2"/>
      <c r="R68" s="6">
        <f t="shared" si="40"/>
        <v>4.9396163557552004E-3</v>
      </c>
      <c r="S68" s="2"/>
      <c r="T68" s="7">
        <v>240</v>
      </c>
      <c r="U68" s="2"/>
      <c r="V68" s="6">
        <f t="shared" si="41"/>
        <v>2.9581058262359338E-3</v>
      </c>
      <c r="W68" s="2"/>
      <c r="X68" s="7">
        <f t="shared" si="42"/>
        <v>201.97000000000003</v>
      </c>
      <c r="Y68" s="2"/>
      <c r="Z68" s="6">
        <f t="shared" si="43"/>
        <v>0.84154166666666674</v>
      </c>
    </row>
    <row r="69" spans="1:26" s="24" customFormat="1" hidden="1" outlineLevel="2" x14ac:dyDescent="0.25">
      <c r="A69" s="29"/>
      <c r="B69" s="11" t="str">
        <f>CONCATENATE("          ", "6285", " - ", "JANITORIAL SERVICES")</f>
        <v xml:space="preserve">          6285 - JANITORIAL SERVICES</v>
      </c>
      <c r="C69" s="11"/>
      <c r="D69" s="7">
        <v>13.02</v>
      </c>
      <c r="E69" s="2"/>
      <c r="F69" s="6">
        <f t="shared" si="36"/>
        <v>5.7538060410544222E-4</v>
      </c>
      <c r="G69" s="2"/>
      <c r="H69" s="7"/>
      <c r="I69" s="2"/>
      <c r="J69" s="6">
        <f t="shared" si="37"/>
        <v>0</v>
      </c>
      <c r="K69" s="2"/>
      <c r="L69" s="7">
        <f t="shared" si="38"/>
        <v>13.02</v>
      </c>
      <c r="M69" s="2"/>
      <c r="N69" s="6">
        <f t="shared" si="39"/>
        <v>0</v>
      </c>
      <c r="O69" s="11"/>
      <c r="P69" s="7">
        <v>39.06</v>
      </c>
      <c r="Q69" s="2"/>
      <c r="R69" s="6">
        <f t="shared" si="40"/>
        <v>4.3654866813538961E-4</v>
      </c>
      <c r="S69" s="2"/>
      <c r="T69" s="7"/>
      <c r="U69" s="2"/>
      <c r="V69" s="6">
        <f t="shared" si="41"/>
        <v>0</v>
      </c>
      <c r="W69" s="2"/>
      <c r="X69" s="7">
        <f t="shared" si="42"/>
        <v>39.06</v>
      </c>
      <c r="Y69" s="2"/>
      <c r="Z69" s="6">
        <f t="shared" si="43"/>
        <v>0</v>
      </c>
    </row>
    <row r="70" spans="1:26" s="28" customFormat="1" outlineLevel="1" collapsed="1" x14ac:dyDescent="0.25">
      <c r="A70" s="27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1">
        <f>SUM(OSRRefD22_13x_0)</f>
        <v>0</v>
      </c>
      <c r="E70" s="1"/>
      <c r="F70" s="5">
        <f t="shared" ref="F70:F72" si="44">IF(D$12=0,0,D70/D$12)</f>
        <v>0</v>
      </c>
      <c r="G70" s="1"/>
      <c r="H70" s="1">
        <f>SUM(OSRRefH22_13x_0)</f>
        <v>81</v>
      </c>
      <c r="I70" s="1"/>
      <c r="J70" s="5">
        <f t="shared" ref="J70:J72" si="45">IF(H$12=0,0,H70/H$12)</f>
        <v>3.4562211981566822E-3</v>
      </c>
      <c r="K70" s="1"/>
      <c r="L70" s="1">
        <f t="shared" ref="L70:L72" si="46">+D70-H70</f>
        <v>-81</v>
      </c>
      <c r="M70" s="1"/>
      <c r="N70" s="5">
        <f t="shared" ref="N70:N72" si="47">IF(H70=0,0,L70/H70)</f>
        <v>-1</v>
      </c>
      <c r="O70" s="14"/>
      <c r="P70" s="1">
        <f>SUM(OSRRefP22_13x_0)</f>
        <v>0</v>
      </c>
      <c r="Q70" s="1"/>
      <c r="R70" s="5">
        <f t="shared" ref="R70:R72" si="48">IF(P$12=0,0,P70/P$12)</f>
        <v>0</v>
      </c>
      <c r="S70" s="1"/>
      <c r="T70" s="1">
        <f>SUM(OSRRefT22_13x_0)</f>
        <v>618</v>
      </c>
      <c r="U70" s="1"/>
      <c r="V70" s="5">
        <f t="shared" ref="V70:V72" si="49">IF(T$12=0,0,T70/T$12)</f>
        <v>7.6171225025575291E-3</v>
      </c>
      <c r="W70" s="1"/>
      <c r="X70" s="1">
        <f t="shared" ref="X70:X72" si="50">+P70-T70</f>
        <v>-618</v>
      </c>
      <c r="Y70" s="1"/>
      <c r="Z70" s="5">
        <f t="shared" ref="Z70:Z72" si="51">IF(T70=0,0,X70/T70)</f>
        <v>-1</v>
      </c>
    </row>
    <row r="71" spans="1:26" s="24" customFormat="1" hidden="1" outlineLevel="2" x14ac:dyDescent="0.25">
      <c r="A71" s="29"/>
      <c r="B71" s="11" t="str">
        <f>CONCATENATE("          ", "6258", " - ", "MEMBERSHIP DUES")</f>
        <v xml:space="preserve">          6258 - MEMBERSHIP DUES</v>
      </c>
      <c r="C71" s="11"/>
      <c r="D71" s="7"/>
      <c r="E71" s="2"/>
      <c r="F71" s="6">
        <f t="shared" si="44"/>
        <v>0</v>
      </c>
      <c r="G71" s="2"/>
      <c r="H71" s="7"/>
      <c r="I71" s="2"/>
      <c r="J71" s="6">
        <f t="shared" si="45"/>
        <v>0</v>
      </c>
      <c r="K71" s="2"/>
      <c r="L71" s="7">
        <f t="shared" si="46"/>
        <v>0</v>
      </c>
      <c r="M71" s="2"/>
      <c r="N71" s="6">
        <f t="shared" si="47"/>
        <v>0</v>
      </c>
      <c r="O71" s="11"/>
      <c r="P71" s="7"/>
      <c r="Q71" s="2"/>
      <c r="R71" s="6">
        <f t="shared" si="48"/>
        <v>0</v>
      </c>
      <c r="S71" s="2"/>
      <c r="T71" s="7">
        <v>395</v>
      </c>
      <c r="U71" s="2"/>
      <c r="V71" s="6">
        <f t="shared" si="49"/>
        <v>4.8685491723466411E-3</v>
      </c>
      <c r="W71" s="2"/>
      <c r="X71" s="7">
        <f t="shared" si="50"/>
        <v>-395</v>
      </c>
      <c r="Y71" s="2"/>
      <c r="Z71" s="6">
        <f t="shared" si="51"/>
        <v>-1</v>
      </c>
    </row>
    <row r="72" spans="1:26" s="24" customFormat="1" hidden="1" outlineLevel="2" x14ac:dyDescent="0.25">
      <c r="A72" s="29"/>
      <c r="B72" s="11" t="str">
        <f>CONCATENATE("          ", "6275", " - ", "SUBSCRIPTIONS")</f>
        <v xml:space="preserve">          6275 - SUBSCRIPTIONS</v>
      </c>
      <c r="C72" s="11"/>
      <c r="D72" s="7"/>
      <c r="E72" s="2"/>
      <c r="F72" s="6">
        <f t="shared" si="44"/>
        <v>0</v>
      </c>
      <c r="G72" s="2"/>
      <c r="H72" s="7">
        <v>81</v>
      </c>
      <c r="I72" s="2"/>
      <c r="J72" s="6">
        <f t="shared" si="45"/>
        <v>3.4562211981566822E-3</v>
      </c>
      <c r="K72" s="2"/>
      <c r="L72" s="7">
        <f t="shared" si="46"/>
        <v>-81</v>
      </c>
      <c r="M72" s="2"/>
      <c r="N72" s="6">
        <f t="shared" si="47"/>
        <v>-1</v>
      </c>
      <c r="O72" s="11"/>
      <c r="P72" s="7"/>
      <c r="Q72" s="2"/>
      <c r="R72" s="6">
        <f t="shared" si="48"/>
        <v>0</v>
      </c>
      <c r="S72" s="2"/>
      <c r="T72" s="7">
        <v>223</v>
      </c>
      <c r="U72" s="2"/>
      <c r="V72" s="6">
        <f t="shared" si="49"/>
        <v>2.7485733302108884E-3</v>
      </c>
      <c r="W72" s="2"/>
      <c r="X72" s="7">
        <f t="shared" si="50"/>
        <v>-223</v>
      </c>
      <c r="Y72" s="2"/>
      <c r="Z72" s="6">
        <f t="shared" si="51"/>
        <v>-1</v>
      </c>
    </row>
    <row r="73" spans="1:26" s="28" customFormat="1" outlineLevel="1" collapsed="1" x14ac:dyDescent="0.25">
      <c r="A73" s="27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SUM(OSRRefD22_14x_0)</f>
        <v>51.18</v>
      </c>
      <c r="E73" s="1"/>
      <c r="F73" s="5">
        <f t="shared" ref="F73:F76" si="52">IF(D$12=0,0,D73/D$12)</f>
        <v>2.2617495636034204E-3</v>
      </c>
      <c r="G73" s="1"/>
      <c r="H73" s="1">
        <f>SUM(OSRRefH22_14x_0)</f>
        <v>30</v>
      </c>
      <c r="I73" s="1"/>
      <c r="J73" s="5">
        <f t="shared" ref="J73:J76" si="53">IF(H$12=0,0,H73/H$12)</f>
        <v>1.2800819252432156E-3</v>
      </c>
      <c r="K73" s="1"/>
      <c r="L73" s="1">
        <f t="shared" ref="L73:L76" si="54">+D73-H73</f>
        <v>21.18</v>
      </c>
      <c r="M73" s="1"/>
      <c r="N73" s="5">
        <f t="shared" ref="N73:N76" si="55">IF(H73=0,0,L73/H73)</f>
        <v>0.70599999999999996</v>
      </c>
      <c r="O73" s="14"/>
      <c r="P73" s="1">
        <f>SUM(OSRRefP22_14x_0)</f>
        <v>588.73</v>
      </c>
      <c r="Q73" s="1"/>
      <c r="R73" s="5">
        <f t="shared" ref="R73:R76" si="56">IF(P$12=0,0,P73/P$12)</f>
        <v>6.5798591242024551E-3</v>
      </c>
      <c r="S73" s="1"/>
      <c r="T73" s="1">
        <f>SUM(OSRRefT22_14x_0)</f>
        <v>130</v>
      </c>
      <c r="U73" s="1"/>
      <c r="V73" s="5">
        <f t="shared" ref="V73:V76" si="57">IF(T$12=0,0,T73/T$12)</f>
        <v>1.6023073225444641E-3</v>
      </c>
      <c r="W73" s="1"/>
      <c r="X73" s="1">
        <f t="shared" ref="X73:X76" si="58">+P73-T73</f>
        <v>458.73</v>
      </c>
      <c r="Y73" s="1"/>
      <c r="Z73" s="5">
        <f t="shared" ref="Z73:Z76" si="59">IF(T73=0,0,X73/T73)</f>
        <v>3.528692307692308</v>
      </c>
    </row>
    <row r="74" spans="1:26" s="24" customFormat="1" hidden="1" outlineLevel="2" x14ac:dyDescent="0.25">
      <c r="A74" s="29"/>
      <c r="B74" s="11" t="str">
        <f>CONCATENATE("          ", "6237", " - ", "JANITORIAL SUPPLIES")</f>
        <v xml:space="preserve">          6237 - JANITORIAL SUPPLIES</v>
      </c>
      <c r="C74" s="11"/>
      <c r="D74" s="7"/>
      <c r="E74" s="2"/>
      <c r="F74" s="6">
        <f t="shared" si="52"/>
        <v>0</v>
      </c>
      <c r="G74" s="2"/>
      <c r="H74" s="7">
        <v>10</v>
      </c>
      <c r="I74" s="2"/>
      <c r="J74" s="6">
        <f t="shared" si="53"/>
        <v>4.2669397508107184E-4</v>
      </c>
      <c r="K74" s="2"/>
      <c r="L74" s="7">
        <f t="shared" si="54"/>
        <v>-10</v>
      </c>
      <c r="M74" s="2"/>
      <c r="N74" s="6">
        <f t="shared" si="55"/>
        <v>-1</v>
      </c>
      <c r="O74" s="11"/>
      <c r="P74" s="7">
        <v>77.17</v>
      </c>
      <c r="Q74" s="2"/>
      <c r="R74" s="6">
        <f t="shared" si="56"/>
        <v>8.6247979313896605E-4</v>
      </c>
      <c r="S74" s="2"/>
      <c r="T74" s="7">
        <v>70</v>
      </c>
      <c r="U74" s="2"/>
      <c r="V74" s="6">
        <f t="shared" si="57"/>
        <v>8.6278086598548065E-4</v>
      </c>
      <c r="W74" s="2"/>
      <c r="X74" s="7">
        <f t="shared" si="58"/>
        <v>7.1700000000000017</v>
      </c>
      <c r="Y74" s="2"/>
      <c r="Z74" s="6">
        <f t="shared" si="59"/>
        <v>0.10242857142857145</v>
      </c>
    </row>
    <row r="75" spans="1:26" s="24" customFormat="1" hidden="1" outlineLevel="2" x14ac:dyDescent="0.25">
      <c r="A75" s="29"/>
      <c r="B75" s="11" t="str">
        <f>CONCATENATE("          ", "6241", " - ", "OFFICE EXPENSE")</f>
        <v xml:space="preserve">          6241 - OFFICE EXPENSE</v>
      </c>
      <c r="C75" s="11"/>
      <c r="D75" s="7">
        <v>51.18</v>
      </c>
      <c r="E75" s="2"/>
      <c r="F75" s="6">
        <f t="shared" si="52"/>
        <v>2.2617495636034204E-3</v>
      </c>
      <c r="G75" s="2"/>
      <c r="H75" s="7">
        <v>20</v>
      </c>
      <c r="I75" s="2"/>
      <c r="J75" s="6">
        <f t="shared" si="53"/>
        <v>8.5338795016214367E-4</v>
      </c>
      <c r="K75" s="2"/>
      <c r="L75" s="7">
        <f t="shared" si="54"/>
        <v>31.18</v>
      </c>
      <c r="M75" s="2"/>
      <c r="N75" s="6">
        <f t="shared" si="55"/>
        <v>1.5589999999999999</v>
      </c>
      <c r="O75" s="11"/>
      <c r="P75" s="7">
        <v>96.24</v>
      </c>
      <c r="Q75" s="2"/>
      <c r="R75" s="6">
        <f t="shared" si="56"/>
        <v>1.075613001058625E-3</v>
      </c>
      <c r="S75" s="2"/>
      <c r="T75" s="7">
        <v>60</v>
      </c>
      <c r="U75" s="2"/>
      <c r="V75" s="6">
        <f t="shared" si="57"/>
        <v>7.3952645655898344E-4</v>
      </c>
      <c r="W75" s="2"/>
      <c r="X75" s="7">
        <f t="shared" si="58"/>
        <v>36.239999999999995</v>
      </c>
      <c r="Y75" s="2"/>
      <c r="Z75" s="6">
        <f t="shared" si="59"/>
        <v>0.60399999999999987</v>
      </c>
    </row>
    <row r="76" spans="1:26" s="24" customFormat="1" hidden="1" outlineLevel="2" x14ac:dyDescent="0.25">
      <c r="A76" s="29"/>
      <c r="B76" s="11" t="str">
        <f>CONCATENATE("          ", "6247", " - ", "STORE SUPPLIES")</f>
        <v xml:space="preserve">          6247 - STORE SUPPLIES</v>
      </c>
      <c r="C76" s="11"/>
      <c r="D76" s="7"/>
      <c r="E76" s="2"/>
      <c r="F76" s="6">
        <f t="shared" si="52"/>
        <v>0</v>
      </c>
      <c r="G76" s="2"/>
      <c r="H76" s="7"/>
      <c r="I76" s="2"/>
      <c r="J76" s="6">
        <f t="shared" si="53"/>
        <v>0</v>
      </c>
      <c r="K76" s="2"/>
      <c r="L76" s="7">
        <f t="shared" si="54"/>
        <v>0</v>
      </c>
      <c r="M76" s="2"/>
      <c r="N76" s="6">
        <f t="shared" si="55"/>
        <v>0</v>
      </c>
      <c r="O76" s="11"/>
      <c r="P76" s="7">
        <v>415.32</v>
      </c>
      <c r="Q76" s="2"/>
      <c r="R76" s="6">
        <f t="shared" si="56"/>
        <v>4.641766330004864E-3</v>
      </c>
      <c r="S76" s="2"/>
      <c r="T76" s="7"/>
      <c r="U76" s="2"/>
      <c r="V76" s="6">
        <f t="shared" si="57"/>
        <v>0</v>
      </c>
      <c r="W76" s="2"/>
      <c r="X76" s="7">
        <f t="shared" si="58"/>
        <v>415.32</v>
      </c>
      <c r="Y76" s="2"/>
      <c r="Z76" s="6">
        <f t="shared" si="59"/>
        <v>0</v>
      </c>
    </row>
    <row r="77" spans="1:26" s="28" customFormat="1" outlineLevel="1" collapsed="1" x14ac:dyDescent="0.25">
      <c r="A77" s="27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SUM(OSRRefD22_15x_0)</f>
        <v>47.84</v>
      </c>
      <c r="E77" s="1"/>
      <c r="F77" s="5">
        <f t="shared" ref="F77:F81" si="60">IF(D$12=0,0,D77/D$12)</f>
        <v>2.1141480875886604E-3</v>
      </c>
      <c r="G77" s="1"/>
      <c r="H77" s="1">
        <f>SUM(OSRRefH22_15x_0)</f>
        <v>250</v>
      </c>
      <c r="I77" s="1"/>
      <c r="J77" s="5">
        <f t="shared" ref="J77:J81" si="61">IF(H$12=0,0,H77/H$12)</f>
        <v>1.0667349377026797E-2</v>
      </c>
      <c r="K77" s="1"/>
      <c r="L77" s="1">
        <f t="shared" ref="L77:L81" si="62">+D77-H77</f>
        <v>-202.16</v>
      </c>
      <c r="M77" s="1"/>
      <c r="N77" s="5">
        <f t="shared" ref="N77:N81" si="63">IF(H77=0,0,L77/H77)</f>
        <v>-0.80864000000000003</v>
      </c>
      <c r="O77" s="14"/>
      <c r="P77" s="1">
        <f>SUM(OSRRefP22_15x_0)</f>
        <v>738.52</v>
      </c>
      <c r="Q77" s="1"/>
      <c r="R77" s="5">
        <f t="shared" ref="R77:R81" si="64">IF(P$12=0,0,P77/P$12)</f>
        <v>8.2539662670595981E-3</v>
      </c>
      <c r="S77" s="1"/>
      <c r="T77" s="1">
        <f>SUM(OSRRefT22_15x_0)</f>
        <v>750</v>
      </c>
      <c r="U77" s="1"/>
      <c r="V77" s="5">
        <f t="shared" ref="V77:V81" si="65">IF(T$12=0,0,T77/T$12)</f>
        <v>9.2440807069872916E-3</v>
      </c>
      <c r="W77" s="1"/>
      <c r="X77" s="1">
        <f t="shared" ref="X77:X81" si="66">+P77-T77</f>
        <v>-11.480000000000018</v>
      </c>
      <c r="Y77" s="1"/>
      <c r="Z77" s="5">
        <f t="shared" ref="Z77:Z81" si="67">IF(T77=0,0,X77/T77)</f>
        <v>-1.5306666666666691E-2</v>
      </c>
    </row>
    <row r="78" spans="1:26" s="24" customFormat="1" hidden="1" outlineLevel="2" x14ac:dyDescent="0.25">
      <c r="A78" s="29"/>
      <c r="B78" s="11" t="str">
        <f>CONCATENATE("          ", "6309", " - ", "TELEPHONE")</f>
        <v xml:space="preserve">          6309 - TELEPHONE</v>
      </c>
      <c r="C78" s="11"/>
      <c r="D78" s="7">
        <v>47.84</v>
      </c>
      <c r="E78" s="2"/>
      <c r="F78" s="6">
        <f t="shared" si="60"/>
        <v>2.1141480875886604E-3</v>
      </c>
      <c r="G78" s="2"/>
      <c r="H78" s="7">
        <v>250</v>
      </c>
      <c r="I78" s="2"/>
      <c r="J78" s="6">
        <f t="shared" si="61"/>
        <v>1.0667349377026797E-2</v>
      </c>
      <c r="K78" s="2"/>
      <c r="L78" s="7">
        <f t="shared" si="62"/>
        <v>-202.16</v>
      </c>
      <c r="M78" s="2"/>
      <c r="N78" s="6">
        <f t="shared" si="63"/>
        <v>-0.80864000000000003</v>
      </c>
      <c r="O78" s="11"/>
      <c r="P78" s="7">
        <v>738.52</v>
      </c>
      <c r="Q78" s="2"/>
      <c r="R78" s="6">
        <f t="shared" si="64"/>
        <v>8.2539662670595981E-3</v>
      </c>
      <c r="S78" s="2"/>
      <c r="T78" s="7">
        <v>750</v>
      </c>
      <c r="U78" s="2"/>
      <c r="V78" s="6">
        <f t="shared" si="65"/>
        <v>9.2440807069872916E-3</v>
      </c>
      <c r="W78" s="2"/>
      <c r="X78" s="7">
        <f t="shared" si="66"/>
        <v>-11.480000000000018</v>
      </c>
      <c r="Y78" s="2"/>
      <c r="Z78" s="6">
        <f t="shared" si="67"/>
        <v>-1.5306666666666691E-2</v>
      </c>
    </row>
    <row r="79" spans="1:26" s="28" customFormat="1" outlineLevel="1" collapsed="1" x14ac:dyDescent="0.25">
      <c r="A79" s="27"/>
      <c r="B79" s="14" t="str">
        <f>CONCATENATE("     ","Travel                                            ")</f>
        <v xml:space="preserve">     Travel                                            </v>
      </c>
      <c r="C79" s="14"/>
      <c r="D79" s="1">
        <f>SUM(OSRRefD22_16x_0)</f>
        <v>27.39</v>
      </c>
      <c r="E79" s="1"/>
      <c r="F79" s="5">
        <f t="shared" si="60"/>
        <v>1.2104204874384074E-3</v>
      </c>
      <c r="G79" s="1"/>
      <c r="H79" s="1">
        <f>SUM(OSRRefH22_16x_0)</f>
        <v>25</v>
      </c>
      <c r="I79" s="1"/>
      <c r="J79" s="5">
        <f t="shared" si="61"/>
        <v>1.0667349377026796E-3</v>
      </c>
      <c r="K79" s="1"/>
      <c r="L79" s="1">
        <f t="shared" si="62"/>
        <v>2.3900000000000006</v>
      </c>
      <c r="M79" s="1"/>
      <c r="N79" s="5">
        <f t="shared" si="63"/>
        <v>9.5600000000000018E-2</v>
      </c>
      <c r="O79" s="14"/>
      <c r="P79" s="1">
        <f>SUM(OSRRefP22_16x_0)</f>
        <v>175.21</v>
      </c>
      <c r="Q79" s="1"/>
      <c r="R79" s="5">
        <f t="shared" si="64"/>
        <v>1.9582102443420788E-3</v>
      </c>
      <c r="S79" s="1"/>
      <c r="T79" s="1">
        <f>SUM(OSRRefT22_16x_0)</f>
        <v>75</v>
      </c>
      <c r="U79" s="1"/>
      <c r="V79" s="5">
        <f t="shared" si="65"/>
        <v>9.2440807069872925E-4</v>
      </c>
      <c r="W79" s="1"/>
      <c r="X79" s="1">
        <f t="shared" si="66"/>
        <v>100.21000000000001</v>
      </c>
      <c r="Y79" s="1"/>
      <c r="Z79" s="5">
        <f t="shared" si="67"/>
        <v>1.3361333333333334</v>
      </c>
    </row>
    <row r="80" spans="1:26" s="24" customFormat="1" hidden="1" outlineLevel="2" x14ac:dyDescent="0.25">
      <c r="A80" s="29"/>
      <c r="B80" s="11" t="str">
        <f>CONCATENATE("          ", "6294", " - ", "TRAVEL OPERATIONAL")</f>
        <v xml:space="preserve">          6294 - TRAVEL OPERATIONAL</v>
      </c>
      <c r="C80" s="11"/>
      <c r="D80" s="7">
        <v>27.39</v>
      </c>
      <c r="E80" s="2"/>
      <c r="F80" s="6">
        <f t="shared" si="60"/>
        <v>1.2104204874384074E-3</v>
      </c>
      <c r="G80" s="2"/>
      <c r="H80" s="7"/>
      <c r="I80" s="2"/>
      <c r="J80" s="6">
        <f t="shared" si="61"/>
        <v>0</v>
      </c>
      <c r="K80" s="2"/>
      <c r="L80" s="7">
        <f t="shared" si="62"/>
        <v>27.39</v>
      </c>
      <c r="M80" s="2"/>
      <c r="N80" s="6">
        <f t="shared" si="63"/>
        <v>0</v>
      </c>
      <c r="O80" s="11"/>
      <c r="P80" s="7">
        <v>175.21</v>
      </c>
      <c r="Q80" s="2"/>
      <c r="R80" s="6">
        <f t="shared" si="64"/>
        <v>1.9582102443420788E-3</v>
      </c>
      <c r="S80" s="2"/>
      <c r="T80" s="7"/>
      <c r="U80" s="2"/>
      <c r="V80" s="6">
        <f t="shared" si="65"/>
        <v>0</v>
      </c>
      <c r="W80" s="2"/>
      <c r="X80" s="7">
        <f t="shared" si="66"/>
        <v>175.21</v>
      </c>
      <c r="Y80" s="2"/>
      <c r="Z80" s="6">
        <f t="shared" si="67"/>
        <v>0</v>
      </c>
    </row>
    <row r="81" spans="1:26" s="24" customFormat="1" hidden="1" outlineLevel="2" x14ac:dyDescent="0.25">
      <c r="A81" s="29"/>
      <c r="B81" s="11" t="str">
        <f>CONCATENATE("          ", "6298", " - ", "VEHICLE MILEAGE")</f>
        <v xml:space="preserve">          6298 - VEHICLE MILEAGE</v>
      </c>
      <c r="C81" s="11"/>
      <c r="D81" s="7"/>
      <c r="E81" s="2"/>
      <c r="F81" s="6">
        <f t="shared" si="60"/>
        <v>0</v>
      </c>
      <c r="G81" s="2"/>
      <c r="H81" s="7">
        <v>25</v>
      </c>
      <c r="I81" s="2"/>
      <c r="J81" s="6">
        <f t="shared" si="61"/>
        <v>1.0667349377026796E-3</v>
      </c>
      <c r="K81" s="2"/>
      <c r="L81" s="7">
        <f t="shared" si="62"/>
        <v>-25</v>
      </c>
      <c r="M81" s="2"/>
      <c r="N81" s="6">
        <f t="shared" si="63"/>
        <v>-1</v>
      </c>
      <c r="O81" s="11"/>
      <c r="P81" s="7"/>
      <c r="Q81" s="2"/>
      <c r="R81" s="6">
        <f t="shared" si="64"/>
        <v>0</v>
      </c>
      <c r="S81" s="2"/>
      <c r="T81" s="7">
        <v>75</v>
      </c>
      <c r="U81" s="2"/>
      <c r="V81" s="6">
        <f t="shared" si="65"/>
        <v>9.2440807069872925E-4</v>
      </c>
      <c r="W81" s="2"/>
      <c r="X81" s="7">
        <f t="shared" si="66"/>
        <v>-75</v>
      </c>
      <c r="Y81" s="2"/>
      <c r="Z81" s="6">
        <f t="shared" si="67"/>
        <v>-1</v>
      </c>
    </row>
    <row r="82" spans="1:26" s="28" customFormat="1" outlineLevel="1" collapsed="1" x14ac:dyDescent="0.25">
      <c r="A82" s="27"/>
      <c r="B82" s="14" t="str">
        <f>CONCATENATE("     ","Utilities                                         ")</f>
        <v xml:space="preserve">     Utilities                                         </v>
      </c>
      <c r="C82" s="14"/>
      <c r="D82" s="1">
        <f>SUM(OSRRefD22_17x_0)</f>
        <v>37.6</v>
      </c>
      <c r="E82" s="1"/>
      <c r="F82" s="5">
        <f t="shared" ref="F82:F83" si="68">IF(D$12=0,0,D82/D$12)</f>
        <v>1.661621406633228E-3</v>
      </c>
      <c r="G82" s="1"/>
      <c r="H82" s="1">
        <f>SUM(OSRRefH22_17x_0)</f>
        <v>120</v>
      </c>
      <c r="I82" s="1"/>
      <c r="J82" s="5">
        <f t="shared" ref="J82:J83" si="69">IF(H$12=0,0,H82/H$12)</f>
        <v>5.1203277009728623E-3</v>
      </c>
      <c r="K82" s="1"/>
      <c r="L82" s="1">
        <f t="shared" ref="L82:L83" si="70">+D82-H82</f>
        <v>-82.4</v>
      </c>
      <c r="M82" s="1"/>
      <c r="N82" s="5">
        <f t="shared" ref="N82:N83" si="71">IF(H82=0,0,L82/H82)</f>
        <v>-0.68666666666666676</v>
      </c>
      <c r="O82" s="14"/>
      <c r="P82" s="1">
        <f>SUM(OSRRefP22_17x_0)</f>
        <v>111.38</v>
      </c>
      <c r="Q82" s="1"/>
      <c r="R82" s="5">
        <f t="shared" ref="R82:R83" si="72">IF(P$12=0,0,P82/P$12)</f>
        <v>1.2448231094961517E-3</v>
      </c>
      <c r="S82" s="1"/>
      <c r="T82" s="1">
        <f>SUM(OSRRefT22_17x_0)</f>
        <v>360</v>
      </c>
      <c r="U82" s="1"/>
      <c r="V82" s="5">
        <f t="shared" ref="V82:V83" si="73">IF(T$12=0,0,T82/T$12)</f>
        <v>4.4371587393539002E-3</v>
      </c>
      <c r="W82" s="1"/>
      <c r="X82" s="1">
        <f t="shared" ref="X82:X83" si="74">+P82-T82</f>
        <v>-248.62</v>
      </c>
      <c r="Y82" s="1"/>
      <c r="Z82" s="5">
        <f t="shared" ref="Z82:Z83" si="75">IF(T82=0,0,X82/T82)</f>
        <v>-0.69061111111111118</v>
      </c>
    </row>
    <row r="83" spans="1:26" s="24" customFormat="1" hidden="1" outlineLevel="2" x14ac:dyDescent="0.25">
      <c r="A83" s="29"/>
      <c r="B83" s="11" t="str">
        <f>CONCATENATE("          ", "6274", " - ", "UTILITIES")</f>
        <v xml:space="preserve">          6274 - UTILITIES</v>
      </c>
      <c r="C83" s="11"/>
      <c r="D83" s="7">
        <v>37.6</v>
      </c>
      <c r="E83" s="2"/>
      <c r="F83" s="6">
        <f t="shared" si="68"/>
        <v>1.661621406633228E-3</v>
      </c>
      <c r="G83" s="2"/>
      <c r="H83" s="7">
        <v>120</v>
      </c>
      <c r="I83" s="2"/>
      <c r="J83" s="6">
        <f t="shared" si="69"/>
        <v>5.1203277009728623E-3</v>
      </c>
      <c r="K83" s="2"/>
      <c r="L83" s="7">
        <f t="shared" si="70"/>
        <v>-82.4</v>
      </c>
      <c r="M83" s="2"/>
      <c r="N83" s="6">
        <f t="shared" si="71"/>
        <v>-0.68666666666666676</v>
      </c>
      <c r="O83" s="11"/>
      <c r="P83" s="7">
        <v>111.38</v>
      </c>
      <c r="Q83" s="2"/>
      <c r="R83" s="6">
        <f t="shared" si="72"/>
        <v>1.2448231094961517E-3</v>
      </c>
      <c r="S83" s="2"/>
      <c r="T83" s="7">
        <v>360</v>
      </c>
      <c r="U83" s="2"/>
      <c r="V83" s="6">
        <f t="shared" si="73"/>
        <v>4.4371587393539002E-3</v>
      </c>
      <c r="W83" s="2"/>
      <c r="X83" s="7">
        <f t="shared" si="74"/>
        <v>-248.62</v>
      </c>
      <c r="Y83" s="2"/>
      <c r="Z83" s="6">
        <f t="shared" si="75"/>
        <v>-0.69061111111111118</v>
      </c>
    </row>
    <row r="84" spans="1:26" s="58" customFormat="1" x14ac:dyDescent="0.25">
      <c r="A84" s="36"/>
      <c r="B84" s="36"/>
      <c r="C84" s="36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6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25">
      <c r="A85" s="10"/>
      <c r="B85" s="26" t="s">
        <v>293</v>
      </c>
      <c r="C85" s="10"/>
      <c r="D85" s="4">
        <f>SUM(0)</f>
        <v>0</v>
      </c>
      <c r="E85" s="4"/>
      <c r="F85" s="12">
        <f>IF(D$12=0,0,D85/D$12)</f>
        <v>0</v>
      </c>
      <c r="G85" s="4"/>
      <c r="H85" s="4">
        <f>SUM(0)</f>
        <v>0</v>
      </c>
      <c r="I85" s="4"/>
      <c r="J85" s="12">
        <f>IF(H$12=0,0,H85/H$12)</f>
        <v>0</v>
      </c>
      <c r="K85" s="4"/>
      <c r="L85" s="4">
        <f>+D85-H85</f>
        <v>0</v>
      </c>
      <c r="M85" s="4"/>
      <c r="N85" s="12">
        <f>IF(H85=0,0,L85/H85)</f>
        <v>0</v>
      </c>
      <c r="O85" s="10"/>
      <c r="P85" s="4">
        <f>SUM(0)</f>
        <v>0</v>
      </c>
      <c r="Q85" s="4"/>
      <c r="R85" s="12">
        <f>IF(P$12=0,0,P85/P$12)</f>
        <v>0</v>
      </c>
      <c r="S85" s="4"/>
      <c r="T85" s="4">
        <f>SUM(0)</f>
        <v>0</v>
      </c>
      <c r="U85" s="4"/>
      <c r="V85" s="12">
        <f>IF(T$12=0,0,T85/T$12)</f>
        <v>0</v>
      </c>
      <c r="W85" s="4"/>
      <c r="X85" s="4">
        <f>+P85-T85</f>
        <v>0</v>
      </c>
      <c r="Y85" s="4"/>
      <c r="Z85" s="12">
        <f>IF(T85=0,0,X85/T85)</f>
        <v>0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5" t="s">
        <v>277</v>
      </c>
      <c r="C87" s="25"/>
      <c r="D87" s="21">
        <f>+D22-D24+D85</f>
        <v>-3044.0600000000013</v>
      </c>
      <c r="E87" s="13"/>
      <c r="F87" s="20">
        <f>IF(D$12=0,0,D87/D$12)</f>
        <v>-0.13452327816691345</v>
      </c>
      <c r="G87" s="13"/>
      <c r="H87" s="21">
        <f>+H22-H24+H85</f>
        <v>-7163.6268157692284</v>
      </c>
      <c r="I87" s="13"/>
      <c r="J87" s="20">
        <f>IF(H$12=0,0,H87/H$12)</f>
        <v>-0.30566764020179332</v>
      </c>
      <c r="K87" s="16"/>
      <c r="L87" s="21">
        <f>+D87-H87</f>
        <v>4119.5668157692271</v>
      </c>
      <c r="M87" s="16"/>
      <c r="N87" s="20">
        <f>IF(H87=0,0,L87/H87)</f>
        <v>-0.57506720013678836</v>
      </c>
      <c r="O87" s="26"/>
      <c r="P87" s="21">
        <f>+P22-P24+P85</f>
        <v>-2096.8299999999945</v>
      </c>
      <c r="Q87" s="13"/>
      <c r="R87" s="20">
        <f>IF(P$12=0,0,P87/P$12)</f>
        <v>-2.3434929436925919E-2</v>
      </c>
      <c r="S87" s="13"/>
      <c r="T87" s="21">
        <f>+T22-T24+T85</f>
        <v>-19961.696078749999</v>
      </c>
      <c r="U87" s="13"/>
      <c r="V87" s="20">
        <f>IF(T$12=0,0,T87/T$12)</f>
        <v>-0.24603670613375567</v>
      </c>
      <c r="W87" s="16"/>
      <c r="X87" s="21">
        <f>+P87-T87</f>
        <v>17864.866078750005</v>
      </c>
      <c r="Y87" s="16"/>
      <c r="Z87" s="20">
        <f>IF(T87=0,0,X87/T87)</f>
        <v>-0.89495732267799877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2"/>
      <c r="B89" s="10" t="s">
        <v>128</v>
      </c>
      <c r="C89" s="10"/>
      <c r="D89" s="4">
        <v>1085.76</v>
      </c>
      <c r="E89" s="4"/>
      <c r="F89" s="12">
        <f>IF(D$12=0,0,D89/D$12)</f>
        <v>4.7981969640055681E-2</v>
      </c>
      <c r="G89" s="4"/>
      <c r="H89" s="4">
        <v>2348</v>
      </c>
      <c r="I89" s="4"/>
      <c r="J89" s="12">
        <f>IF(H$12=0,0,H89/H$12)</f>
        <v>0.10018774534903567</v>
      </c>
      <c r="K89" s="4"/>
      <c r="L89" s="4">
        <f>+D89-H89</f>
        <v>-1262.24</v>
      </c>
      <c r="M89" s="4"/>
      <c r="N89" s="12">
        <f>IF(H89=0,0,L89/H89)</f>
        <v>-0.53758091993185686</v>
      </c>
      <c r="O89" s="10"/>
      <c r="P89" s="4">
        <v>11074.77</v>
      </c>
      <c r="Q89" s="4"/>
      <c r="R89" s="12">
        <f>IF(P$12=0,0,P89/P$12)</f>
        <v>0.12377562963148409</v>
      </c>
      <c r="S89" s="4"/>
      <c r="T89" s="4">
        <v>8810</v>
      </c>
      <c r="U89" s="4"/>
      <c r="V89" s="12">
        <f>IF(T$12=0,0,T89/T$12)</f>
        <v>0.10858713470474406</v>
      </c>
      <c r="W89" s="4"/>
      <c r="X89" s="4">
        <f>+P89-T89</f>
        <v>2264.7700000000004</v>
      </c>
      <c r="Y89" s="4"/>
      <c r="Z89" s="12">
        <f>IF(T89=0,0,X89/T89)</f>
        <v>0.25706810442678779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5" t="s">
        <v>126</v>
      </c>
      <c r="C91" s="25"/>
      <c r="D91" s="33">
        <f>+D87-D89</f>
        <v>-4129.8200000000015</v>
      </c>
      <c r="E91" s="13"/>
      <c r="F91" s="31">
        <f>IF(D$12=0,0,D91/D$12)</f>
        <v>-0.18250524780696917</v>
      </c>
      <c r="G91" s="13"/>
      <c r="H91" s="33">
        <f>+H87-H89</f>
        <v>-9511.6268157692284</v>
      </c>
      <c r="I91" s="13"/>
      <c r="J91" s="31">
        <f>IF(H$12=0,0,H91/H$12)</f>
        <v>-0.40585538555082901</v>
      </c>
      <c r="K91" s="16"/>
      <c r="L91" s="33">
        <f>D91-H91</f>
        <v>5381.8068157692269</v>
      </c>
      <c r="M91" s="16"/>
      <c r="N91" s="31">
        <f>IF(H91=0,0,L91/H91)</f>
        <v>-0.56581349542086579</v>
      </c>
      <c r="O91" s="26"/>
      <c r="P91" s="33">
        <f>+P87-P89</f>
        <v>-13171.599999999995</v>
      </c>
      <c r="Q91" s="13"/>
      <c r="R91" s="31">
        <f>IF(P$12=0,0,P91/P$12)</f>
        <v>-0.14721055906841002</v>
      </c>
      <c r="S91" s="13"/>
      <c r="T91" s="33">
        <f>+T87-T89</f>
        <v>-28771.696078749999</v>
      </c>
      <c r="U91" s="13"/>
      <c r="V91" s="31">
        <f>IF(T$12=0,0,T91/T$12)</f>
        <v>-0.35462384083849974</v>
      </c>
      <c r="W91" s="16"/>
      <c r="X91" s="33">
        <f>P91-T91</f>
        <v>15600.096078750004</v>
      </c>
      <c r="Y91" s="16"/>
      <c r="Z91" s="31">
        <f>IF(T91=0,0,X91/T91)</f>
        <v>-0.54220286617971802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5" t="s">
        <v>294</v>
      </c>
      <c r="C94" s="25"/>
      <c r="D94" s="35">
        <f>SUM(D91:D93)</f>
        <v>-4129.8200000000015</v>
      </c>
      <c r="E94" s="13"/>
      <c r="F94" s="34">
        <f>IF(D$12=0,0,D94/D$12)</f>
        <v>-0.18250524780696917</v>
      </c>
      <c r="G94" s="13"/>
      <c r="H94" s="35">
        <f>SUM(H91:H93)</f>
        <v>-9511.6268157692284</v>
      </c>
      <c r="I94" s="13"/>
      <c r="J94" s="34">
        <f>IF(H$12=0,0,H94/H$12)</f>
        <v>-0.40585538555082901</v>
      </c>
      <c r="K94" s="16"/>
      <c r="L94" s="35">
        <f>+D94-H94</f>
        <v>5381.8068157692269</v>
      </c>
      <c r="M94" s="16"/>
      <c r="N94" s="34">
        <f>IF(H94=0,0,L94/H94)</f>
        <v>-0.56581349542086579</v>
      </c>
      <c r="O94" s="26"/>
      <c r="P94" s="35">
        <f>SUM(P91:P93)</f>
        <v>-13171.599999999995</v>
      </c>
      <c r="Q94" s="13"/>
      <c r="R94" s="34">
        <f>IF(P$12=0,0,P94/P$12)</f>
        <v>-0.14721055906841002</v>
      </c>
      <c r="S94" s="13"/>
      <c r="T94" s="35">
        <f>SUM(T91:T93)</f>
        <v>-28771.696078749999</v>
      </c>
      <c r="U94" s="13"/>
      <c r="V94" s="34">
        <f>IF(T$12=0,0,T94/T$12)</f>
        <v>-0.35462384083849974</v>
      </c>
      <c r="W94" s="16"/>
      <c r="X94" s="35">
        <f>+P94-T94</f>
        <v>15600.096078750004</v>
      </c>
      <c r="Y94" s="16"/>
      <c r="Z94" s="34">
        <f>IF(T94=0,0,X94/T94)</f>
        <v>-0.54220286617971802</v>
      </c>
    </row>
    <row r="95" spans="1:26" ht="15.75" thickTop="1" x14ac:dyDescent="0.25">
      <c r="A95" s="9"/>
      <c r="C95" s="9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61">
        <v>44481.978956793981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6" t="s">
        <v>56</v>
      </c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A98" s="9"/>
      <c r="B98" s="54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25"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92D050"/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","316", " - ", "Campus Copy Center")</f>
        <v>Department 316 - Campus Copy Center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16536.91</v>
      </c>
      <c r="E12" s="4"/>
      <c r="F12" s="12"/>
      <c r="G12" s="4"/>
      <c r="H12" s="4">
        <f>SUM(OSRRefH13x_0)</f>
        <v>27900</v>
      </c>
      <c r="I12" s="4"/>
      <c r="J12" s="12"/>
      <c r="K12" s="4"/>
      <c r="L12" s="4">
        <f t="shared" ref="L12:L17" si="0">+D12-H12</f>
        <v>-11363.09</v>
      </c>
      <c r="M12" s="4"/>
      <c r="N12" s="12">
        <f t="shared" ref="N12:N17" si="1">IF(H12=0,0,L12/H12)</f>
        <v>-0.40727921146953405</v>
      </c>
      <c r="O12" s="10"/>
      <c r="P12" s="4">
        <f>SUM(OSRRefP13x_0)</f>
        <v>75012.580000000016</v>
      </c>
      <c r="Q12" s="4"/>
      <c r="R12" s="12"/>
      <c r="S12" s="4"/>
      <c r="T12" s="4">
        <f>SUM(OSRRefT13x_0)</f>
        <v>75300</v>
      </c>
      <c r="U12" s="4"/>
      <c r="V12" s="12"/>
      <c r="W12" s="4"/>
      <c r="X12" s="4">
        <f t="shared" ref="X12:X17" si="2">+P12-T12</f>
        <v>-287.4199999999837</v>
      </c>
      <c r="Y12" s="4"/>
      <c r="Z12" s="12">
        <f t="shared" ref="Z12:Z17" si="3">IF(T12=0,0,X12/T12)</f>
        <v>-3.8169986719785351E-3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--11641.04</f>
        <v>11641.04</v>
      </c>
      <c r="E13" s="2"/>
      <c r="F13" s="19"/>
      <c r="G13" s="2"/>
      <c r="H13" s="2">
        <v>13100</v>
      </c>
      <c r="I13" s="2"/>
      <c r="J13" s="19"/>
      <c r="K13" s="2"/>
      <c r="L13" s="2">
        <f t="shared" si="0"/>
        <v>-1458.9599999999991</v>
      </c>
      <c r="M13" s="2"/>
      <c r="N13" s="19">
        <f t="shared" si="1"/>
        <v>-0.11137099236641215</v>
      </c>
      <c r="O13" s="11"/>
      <c r="P13" s="2">
        <f>--66441.66</f>
        <v>66441.66</v>
      </c>
      <c r="Q13" s="2"/>
      <c r="R13" s="19"/>
      <c r="S13" s="2"/>
      <c r="T13" s="2">
        <v>50800</v>
      </c>
      <c r="U13" s="2"/>
      <c r="V13" s="19"/>
      <c r="W13" s="2"/>
      <c r="X13" s="2">
        <f t="shared" si="2"/>
        <v>15641.660000000003</v>
      </c>
      <c r="Y13" s="2"/>
      <c r="Z13" s="19">
        <f t="shared" si="3"/>
        <v>0.3079066929133859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--171.97</f>
        <v>171.97</v>
      </c>
      <c r="E14" s="2"/>
      <c r="F14" s="19"/>
      <c r="G14" s="2"/>
      <c r="H14" s="2">
        <v>14800</v>
      </c>
      <c r="I14" s="2"/>
      <c r="J14" s="19"/>
      <c r="K14" s="2"/>
      <c r="L14" s="2">
        <f t="shared" si="0"/>
        <v>-14628.03</v>
      </c>
      <c r="M14" s="2"/>
      <c r="N14" s="19">
        <f t="shared" si="1"/>
        <v>-0.9883804054054055</v>
      </c>
      <c r="O14" s="11"/>
      <c r="P14" s="2">
        <f>--1006.82</f>
        <v>1006.82</v>
      </c>
      <c r="Q14" s="2"/>
      <c r="R14" s="19"/>
      <c r="S14" s="2"/>
      <c r="T14" s="2">
        <v>24500</v>
      </c>
      <c r="U14" s="2"/>
      <c r="V14" s="19"/>
      <c r="W14" s="2"/>
      <c r="X14" s="2">
        <f t="shared" si="2"/>
        <v>-23493.18</v>
      </c>
      <c r="Y14" s="2"/>
      <c r="Z14" s="19">
        <f t="shared" si="3"/>
        <v>-0.95890530612244895</v>
      </c>
    </row>
    <row r="15" spans="1:26" s="24" customFormat="1" hidden="1" outlineLevel="1" x14ac:dyDescent="0.25">
      <c r="A15" s="44"/>
      <c r="B15" s="11" t="str">
        <f>CONCATENATE("          ", "4141", " - ", "NON-TAXABLE SALES-LOGO GIFTS")</f>
        <v xml:space="preserve">          4141 - NON-TAXABLE SALES-LOGO GIFTS</v>
      </c>
      <c r="C15" s="11"/>
      <c r="D15" s="2">
        <f>--71.05</f>
        <v>71.05</v>
      </c>
      <c r="E15" s="2"/>
      <c r="F15" s="19"/>
      <c r="G15" s="2"/>
      <c r="H15" s="2"/>
      <c r="I15" s="2"/>
      <c r="J15" s="19"/>
      <c r="K15" s="2"/>
      <c r="L15" s="2">
        <f t="shared" si="0"/>
        <v>71.05</v>
      </c>
      <c r="M15" s="2"/>
      <c r="N15" s="19">
        <f t="shared" si="1"/>
        <v>0</v>
      </c>
      <c r="O15" s="11"/>
      <c r="P15" s="2">
        <f>--460.55</f>
        <v>460.55</v>
      </c>
      <c r="Q15" s="2"/>
      <c r="R15" s="19"/>
      <c r="S15" s="2"/>
      <c r="T15" s="2"/>
      <c r="U15" s="2"/>
      <c r="V15" s="19"/>
      <c r="W15" s="2"/>
      <c r="X15" s="2">
        <f t="shared" si="2"/>
        <v>460.55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"4146", " - ", "NON-TAXABLE SALES-COIN OP MACH")</f>
        <v xml:space="preserve">          4146 - NON-TAXABLE SALES-COIN OP MACH</v>
      </c>
      <c r="C16" s="11"/>
      <c r="D16" s="2">
        <f>--4759.35</f>
        <v>4759.3500000000004</v>
      </c>
      <c r="E16" s="2"/>
      <c r="F16" s="19"/>
      <c r="G16" s="2"/>
      <c r="H16" s="2"/>
      <c r="I16" s="2"/>
      <c r="J16" s="19"/>
      <c r="K16" s="2"/>
      <c r="L16" s="2">
        <f t="shared" si="0"/>
        <v>4759.3500000000004</v>
      </c>
      <c r="M16" s="2"/>
      <c r="N16" s="19">
        <f t="shared" si="1"/>
        <v>0</v>
      </c>
      <c r="O16" s="11"/>
      <c r="P16" s="2">
        <f>--7492.95</f>
        <v>7492.95</v>
      </c>
      <c r="Q16" s="2"/>
      <c r="R16" s="19"/>
      <c r="S16" s="2"/>
      <c r="T16" s="2"/>
      <c r="U16" s="2"/>
      <c r="V16" s="19"/>
      <c r="W16" s="2"/>
      <c r="X16" s="2">
        <f t="shared" si="2"/>
        <v>7492.95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"4200", " - ", "TAXABLE RETURNS")</f>
        <v xml:space="preserve">          4200 - TAXABLE RETURNS</v>
      </c>
      <c r="C17" s="11"/>
      <c r="D17" s="2">
        <f>-106.5</f>
        <v>-106.5</v>
      </c>
      <c r="E17" s="2"/>
      <c r="F17" s="19"/>
      <c r="G17" s="2"/>
      <c r="H17" s="2"/>
      <c r="I17" s="2"/>
      <c r="J17" s="19"/>
      <c r="K17" s="2"/>
      <c r="L17" s="2">
        <f t="shared" si="0"/>
        <v>-106.5</v>
      </c>
      <c r="M17" s="2"/>
      <c r="N17" s="19">
        <f t="shared" si="1"/>
        <v>0</v>
      </c>
      <c r="O17" s="11"/>
      <c r="P17" s="2">
        <f>-389.4</f>
        <v>-389.4</v>
      </c>
      <c r="Q17" s="2"/>
      <c r="R17" s="19"/>
      <c r="S17" s="2"/>
      <c r="T17" s="2"/>
      <c r="U17" s="2"/>
      <c r="V17" s="19"/>
      <c r="W17" s="2"/>
      <c r="X17" s="2">
        <f t="shared" si="2"/>
        <v>-389.4</v>
      </c>
      <c r="Y17" s="2"/>
      <c r="Z17" s="19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6" t="s">
        <v>257</v>
      </c>
      <c r="C19" s="10"/>
      <c r="D19" s="4">
        <f>SUM(OSRRefD16x_0)</f>
        <v>0</v>
      </c>
      <c r="E19" s="4"/>
      <c r="F19" s="12">
        <f t="shared" ref="F19:F20" si="4">IF(D$12=0,0,D19/D$12)</f>
        <v>0</v>
      </c>
      <c r="G19" s="4"/>
      <c r="H19" s="4">
        <f>SUM(OSRRefH16x_0)</f>
        <v>0</v>
      </c>
      <c r="I19" s="4"/>
      <c r="J19" s="12">
        <f t="shared" ref="J19:J20" si="5">IF(H$12=0,0,H19/H$12)</f>
        <v>0</v>
      </c>
      <c r="K19" s="4"/>
      <c r="L19" s="4">
        <f t="shared" ref="L19:L20" si="6">+D19-H19</f>
        <v>0</v>
      </c>
      <c r="M19" s="4"/>
      <c r="N19" s="12">
        <f t="shared" ref="N19:N20" si="7">IF(H19=0,0,L19/H19)</f>
        <v>0</v>
      </c>
      <c r="O19" s="10"/>
      <c r="P19" s="4">
        <f>SUM(OSRRefP16x_0)</f>
        <v>0</v>
      </c>
      <c r="Q19" s="4"/>
      <c r="R19" s="12">
        <f t="shared" ref="R19:R20" si="8">IF(P$12=0,0,P19/P$12)</f>
        <v>0</v>
      </c>
      <c r="S19" s="4"/>
      <c r="T19" s="4">
        <f>SUM(OSRRefT16x_0)</f>
        <v>0</v>
      </c>
      <c r="U19" s="4"/>
      <c r="V19" s="12">
        <f t="shared" ref="V19:V20" si="9">IF(T$12=0,0,T19/T$12)</f>
        <v>0</v>
      </c>
      <c r="W19" s="4"/>
      <c r="X19" s="4">
        <f t="shared" ref="X19:X20" si="10">+P19-T19</f>
        <v>0</v>
      </c>
      <c r="Y19" s="4"/>
      <c r="Z19" s="12">
        <f t="shared" ref="Z19:Z20" si="11">IF(T19=0,0,X19/T19)</f>
        <v>0</v>
      </c>
    </row>
    <row r="20" spans="1:26" s="24" customFormat="1" hidden="1" outlineLevel="1" x14ac:dyDescent="0.25">
      <c r="A20" s="44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19">
        <f t="shared" si="4"/>
        <v>0</v>
      </c>
      <c r="G20" s="2"/>
      <c r="H20" s="2">
        <v>0</v>
      </c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/>
      <c r="Q20" s="2"/>
      <c r="R20" s="19">
        <f t="shared" si="8"/>
        <v>0</v>
      </c>
      <c r="S20" s="2"/>
      <c r="T20" s="2">
        <v>0</v>
      </c>
      <c r="U20" s="2"/>
      <c r="V20" s="19">
        <f t="shared" si="9"/>
        <v>0</v>
      </c>
      <c r="W20" s="2"/>
      <c r="X20" s="2">
        <f t="shared" si="10"/>
        <v>0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5" t="s">
        <v>108</v>
      </c>
      <c r="C22" s="25"/>
      <c r="D22" s="21">
        <f>D12-D19</f>
        <v>16536.91</v>
      </c>
      <c r="E22" s="13"/>
      <c r="F22" s="20">
        <f>IF(D$12=0,0,D22/D$12)</f>
        <v>1</v>
      </c>
      <c r="G22" s="13"/>
      <c r="H22" s="21">
        <f>H12-H19</f>
        <v>27900</v>
      </c>
      <c r="I22" s="13"/>
      <c r="J22" s="20">
        <f>IF(H$12=0,0,H22/H$12)</f>
        <v>1</v>
      </c>
      <c r="K22" s="16"/>
      <c r="L22" s="21">
        <f>+D22-H22</f>
        <v>-11363.09</v>
      </c>
      <c r="M22" s="16"/>
      <c r="N22" s="20">
        <f>IF(H22=0,0,L22/H22)</f>
        <v>-0.40727921146953405</v>
      </c>
      <c r="O22" s="26"/>
      <c r="P22" s="21">
        <f>P12-P19</f>
        <v>75012.580000000016</v>
      </c>
      <c r="Q22" s="13"/>
      <c r="R22" s="20">
        <f>IF(P$12=0,0,P22/P$12)</f>
        <v>1</v>
      </c>
      <c r="S22" s="13"/>
      <c r="T22" s="21">
        <f>T12-T19</f>
        <v>75300</v>
      </c>
      <c r="U22" s="13"/>
      <c r="V22" s="20">
        <f>IF(T$12=0,0,T22/T$12)</f>
        <v>1</v>
      </c>
      <c r="W22" s="16"/>
      <c r="X22" s="21">
        <f>+P22-T22</f>
        <v>-287.4199999999837</v>
      </c>
      <c r="Y22" s="16"/>
      <c r="Z22" s="20">
        <f>IF(T22=0,0,X22/T22)</f>
        <v>-3.8169986719785351E-3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6" t="s">
        <v>295</v>
      </c>
      <c r="C24" s="10"/>
      <c r="D24" s="22">
        <f>SUM(OSRRefD22x_0)</f>
        <v>34563.810000000005</v>
      </c>
      <c r="E24" s="22"/>
      <c r="F24" s="32">
        <f t="shared" ref="F24:F34" si="12">IF(D$12=0,0,D24/D$12)</f>
        <v>2.0901008713236031</v>
      </c>
      <c r="G24" s="22"/>
      <c r="H24" s="22">
        <f>SUM(OSRRefH22x_0)</f>
        <v>27431.002261923066</v>
      </c>
      <c r="I24" s="22"/>
      <c r="J24" s="32">
        <f t="shared" ref="J24:J34" si="13">IF(H$12=0,0,H24/H$12)</f>
        <v>0.98319004523021736</v>
      </c>
      <c r="K24" s="4"/>
      <c r="L24" s="22">
        <f t="shared" ref="L24:L34" si="14">+D24-H24</f>
        <v>7132.8077380769391</v>
      </c>
      <c r="M24" s="4"/>
      <c r="N24" s="32">
        <f t="shared" ref="N24:N34" si="15">IF(H24=0,0,L24/H24)</f>
        <v>0.26002723742901585</v>
      </c>
      <c r="O24" s="10"/>
      <c r="P24" s="22">
        <f>SUM(OSRRefP22x_0)</f>
        <v>90061.099999999991</v>
      </c>
      <c r="Q24" s="22"/>
      <c r="R24" s="32">
        <f t="shared" ref="R24:R34" si="16">IF(P$12=0,0,P24/P$12)</f>
        <v>1.2006132837985304</v>
      </c>
      <c r="S24" s="22"/>
      <c r="T24" s="22">
        <f>SUM(OSRRefT22x_0)</f>
        <v>70338.915821442366</v>
      </c>
      <c r="U24" s="22"/>
      <c r="V24" s="32">
        <f t="shared" ref="V24:V34" si="17">IF(T$12=0,0,T24/T$12)</f>
        <v>0.93411574796072194</v>
      </c>
      <c r="W24" s="4"/>
      <c r="X24" s="22">
        <f t="shared" ref="X24:X34" si="18">+P24-T24</f>
        <v>19722.184178557625</v>
      </c>
      <c r="Y24" s="4"/>
      <c r="Z24" s="32">
        <f t="shared" ref="Z24:Z34" si="19">IF(T24=0,0,X24/T24)</f>
        <v>0.2803879466755364</v>
      </c>
    </row>
    <row r="25" spans="1:26" s="28" customFormat="1" outlineLevel="1" collapsed="1" x14ac:dyDescent="0.25">
      <c r="A25" s="27"/>
      <c r="B25" s="14" t="str">
        <f>CONCATENATE("     ","*Benefits                                         ")</f>
        <v xml:space="preserve">     *Benefits                                         </v>
      </c>
      <c r="C25" s="14"/>
      <c r="D25" s="1">
        <f>SUM(OSRRefD22_0x_0)</f>
        <v>8204.0700000000015</v>
      </c>
      <c r="E25" s="1"/>
      <c r="F25" s="5">
        <f t="shared" si="12"/>
        <v>0.49610658823202169</v>
      </c>
      <c r="G25" s="1"/>
      <c r="H25" s="1">
        <f>SUM(OSRRefH22_0x_0)</f>
        <v>6733.2176465384664</v>
      </c>
      <c r="I25" s="1"/>
      <c r="J25" s="5">
        <f t="shared" si="13"/>
        <v>0.24133396582575148</v>
      </c>
      <c r="K25" s="1"/>
      <c r="L25" s="1">
        <f t="shared" si="14"/>
        <v>1470.8523534615351</v>
      </c>
      <c r="M25" s="1"/>
      <c r="N25" s="5">
        <f t="shared" si="15"/>
        <v>0.21844717201703667</v>
      </c>
      <c r="O25" s="14"/>
      <c r="P25" s="1">
        <f>SUM(OSRRefP22_0x_0)</f>
        <v>26299.750000000004</v>
      </c>
      <c r="Q25" s="1"/>
      <c r="R25" s="5">
        <f t="shared" si="16"/>
        <v>0.35060452526762842</v>
      </c>
      <c r="S25" s="1"/>
      <c r="T25" s="1">
        <f>SUM(OSRRefT22_0x_0)</f>
        <v>25900.916782980767</v>
      </c>
      <c r="U25" s="1"/>
      <c r="V25" s="5">
        <f t="shared" si="17"/>
        <v>0.34396967839283887</v>
      </c>
      <c r="W25" s="1"/>
      <c r="X25" s="1">
        <f t="shared" si="18"/>
        <v>398.83321701923705</v>
      </c>
      <c r="Y25" s="1"/>
      <c r="Z25" s="5">
        <f t="shared" si="19"/>
        <v>1.5398420849771093E-2</v>
      </c>
    </row>
    <row r="26" spans="1:26" s="24" customFormat="1" hidden="1" outlineLevel="2" x14ac:dyDescent="0.25">
      <c r="A26" s="29"/>
      <c r="B26" s="11" t="str">
        <f>CONCATENATE("          ", "6111", " - ", "F.I.C.A.")</f>
        <v xml:space="preserve">          6111 - F.I.C.A.</v>
      </c>
      <c r="C26" s="11"/>
      <c r="D26" s="7">
        <v>1244.83</v>
      </c>
      <c r="E26" s="2"/>
      <c r="F26" s="6">
        <f t="shared" si="12"/>
        <v>7.5275852623011189E-2</v>
      </c>
      <c r="G26" s="2"/>
      <c r="H26" s="7">
        <v>1058.6071119230801</v>
      </c>
      <c r="I26" s="2"/>
      <c r="J26" s="6">
        <f t="shared" si="13"/>
        <v>3.7942907237386386E-2</v>
      </c>
      <c r="K26" s="2"/>
      <c r="L26" s="7">
        <f t="shared" si="14"/>
        <v>186.22288807691984</v>
      </c>
      <c r="M26" s="2"/>
      <c r="N26" s="6">
        <f t="shared" si="15"/>
        <v>0.17591312771234346</v>
      </c>
      <c r="O26" s="11"/>
      <c r="P26" s="7">
        <v>3879.74</v>
      </c>
      <c r="Q26" s="2"/>
      <c r="R26" s="6">
        <f t="shared" si="16"/>
        <v>5.1721191298846128E-2</v>
      </c>
      <c r="S26" s="2"/>
      <c r="T26" s="7">
        <v>4037.8707089423101</v>
      </c>
      <c r="U26" s="2"/>
      <c r="V26" s="6">
        <f t="shared" si="17"/>
        <v>5.3623780995249802E-2</v>
      </c>
      <c r="W26" s="2"/>
      <c r="X26" s="7">
        <f t="shared" si="18"/>
        <v>-158.13070894231032</v>
      </c>
      <c r="Y26" s="2"/>
      <c r="Z26" s="6">
        <f t="shared" si="19"/>
        <v>-3.9161904959490762E-2</v>
      </c>
    </row>
    <row r="27" spans="1:26" s="24" customFormat="1" hidden="1" outlineLevel="2" x14ac:dyDescent="0.25">
      <c r="A27" s="29"/>
      <c r="B27" s="11" t="str">
        <f>CONCATENATE("          ", "6112", " - ", "COMPENSATION INSURANCE")</f>
        <v xml:space="preserve">          6112 - COMPENSATION INSURANCE</v>
      </c>
      <c r="C27" s="11"/>
      <c r="D27" s="7">
        <v>291.74</v>
      </c>
      <c r="E27" s="2"/>
      <c r="F27" s="6">
        <f t="shared" si="12"/>
        <v>1.7641748065388273E-2</v>
      </c>
      <c r="G27" s="2"/>
      <c r="H27" s="7">
        <v>215.78819999999999</v>
      </c>
      <c r="I27" s="2"/>
      <c r="J27" s="6">
        <f t="shared" si="13"/>
        <v>7.7343440860215048E-3</v>
      </c>
      <c r="K27" s="2"/>
      <c r="L27" s="7">
        <f t="shared" si="14"/>
        <v>75.95180000000002</v>
      </c>
      <c r="M27" s="2"/>
      <c r="N27" s="6">
        <f t="shared" si="15"/>
        <v>0.35197383360165208</v>
      </c>
      <c r="O27" s="11"/>
      <c r="P27" s="7">
        <v>828.47</v>
      </c>
      <c r="Q27" s="2"/>
      <c r="R27" s="6">
        <f t="shared" si="16"/>
        <v>1.1044414150266527E-2</v>
      </c>
      <c r="S27" s="2"/>
      <c r="T27" s="7">
        <v>823.08614999999998</v>
      </c>
      <c r="U27" s="2"/>
      <c r="V27" s="6">
        <f t="shared" si="17"/>
        <v>1.0930758964143425E-2</v>
      </c>
      <c r="W27" s="2"/>
      <c r="X27" s="7">
        <f t="shared" si="18"/>
        <v>5.3838500000000522</v>
      </c>
      <c r="Y27" s="2"/>
      <c r="Z27" s="6">
        <f t="shared" si="19"/>
        <v>6.5410528411880726E-3</v>
      </c>
    </row>
    <row r="28" spans="1:26" s="24" customFormat="1" hidden="1" outlineLevel="2" x14ac:dyDescent="0.25">
      <c r="A28" s="29"/>
      <c r="B28" s="11" t="str">
        <f>CONCATENATE("          ", "6113", " - ", "GROUP INSURANCE")</f>
        <v xml:space="preserve">          6113 - GROUP INSURANCE</v>
      </c>
      <c r="C28" s="11"/>
      <c r="D28" s="7">
        <v>3443.98</v>
      </c>
      <c r="E28" s="2"/>
      <c r="F28" s="6">
        <f t="shared" si="12"/>
        <v>0.20826018887446324</v>
      </c>
      <c r="G28" s="2"/>
      <c r="H28" s="7">
        <v>2314.5</v>
      </c>
      <c r="I28" s="2"/>
      <c r="J28" s="6">
        <f t="shared" si="13"/>
        <v>8.2956989247311833E-2</v>
      </c>
      <c r="K28" s="2"/>
      <c r="L28" s="7">
        <f t="shared" si="14"/>
        <v>1129.48</v>
      </c>
      <c r="M28" s="2"/>
      <c r="N28" s="6">
        <f t="shared" si="15"/>
        <v>0.48800172823503996</v>
      </c>
      <c r="O28" s="11"/>
      <c r="P28" s="7">
        <v>10264.44</v>
      </c>
      <c r="Q28" s="2"/>
      <c r="R28" s="6">
        <f t="shared" si="16"/>
        <v>0.1368362480000021</v>
      </c>
      <c r="S28" s="2"/>
      <c r="T28" s="7">
        <v>8920.5</v>
      </c>
      <c r="U28" s="2"/>
      <c r="V28" s="6">
        <f t="shared" si="17"/>
        <v>0.11846613545816734</v>
      </c>
      <c r="W28" s="2"/>
      <c r="X28" s="7">
        <f t="shared" si="18"/>
        <v>1343.9400000000005</v>
      </c>
      <c r="Y28" s="2"/>
      <c r="Z28" s="6">
        <f t="shared" si="19"/>
        <v>0.15065747435681862</v>
      </c>
    </row>
    <row r="29" spans="1:26" s="24" customFormat="1" hidden="1" outlineLevel="2" x14ac:dyDescent="0.25">
      <c r="A29" s="29"/>
      <c r="B29" s="11" t="str">
        <f>CONCATENATE("          ", "6114", " - ", "STATE UNEMPLOYMENT INSURANCE")</f>
        <v xml:space="preserve">          6114 - STATE UNEMPLOYMENT INSURANCE</v>
      </c>
      <c r="C29" s="11"/>
      <c r="D29" s="7">
        <v>51.25</v>
      </c>
      <c r="E29" s="2"/>
      <c r="F29" s="6">
        <f t="shared" si="12"/>
        <v>3.0991279507477515E-3</v>
      </c>
      <c r="G29" s="2"/>
      <c r="H29" s="7">
        <v>29.048411538461501</v>
      </c>
      <c r="I29" s="2"/>
      <c r="J29" s="6">
        <f t="shared" si="13"/>
        <v>1.0411617038875089E-3</v>
      </c>
      <c r="K29" s="2"/>
      <c r="L29" s="7">
        <f t="shared" si="14"/>
        <v>22.201588461538499</v>
      </c>
      <c r="M29" s="2"/>
      <c r="N29" s="6">
        <f t="shared" si="15"/>
        <v>0.76429612793603263</v>
      </c>
      <c r="O29" s="11"/>
      <c r="P29" s="7">
        <v>145.54</v>
      </c>
      <c r="Q29" s="2"/>
      <c r="R29" s="6">
        <f t="shared" si="16"/>
        <v>1.9402078957956113E-3</v>
      </c>
      <c r="S29" s="2"/>
      <c r="T29" s="7">
        <v>110.80005865384599</v>
      </c>
      <c r="U29" s="2"/>
      <c r="V29" s="6">
        <f t="shared" si="17"/>
        <v>1.4714483220962284E-3</v>
      </c>
      <c r="W29" s="2"/>
      <c r="X29" s="7">
        <f t="shared" si="18"/>
        <v>34.739941346153998</v>
      </c>
      <c r="Y29" s="2"/>
      <c r="Z29" s="6">
        <f t="shared" si="19"/>
        <v>0.3135372107941401</v>
      </c>
    </row>
    <row r="30" spans="1:26" s="24" customFormat="1" hidden="1" outlineLevel="2" x14ac:dyDescent="0.25">
      <c r="A30" s="29"/>
      <c r="B30" s="11" t="str">
        <f>CONCATENATE("          ", "6115", " - ", "P.E.R.S.")</f>
        <v xml:space="preserve">          6115 - P.E.R.S.</v>
      </c>
      <c r="C30" s="11"/>
      <c r="D30" s="7">
        <v>1590.79</v>
      </c>
      <c r="E30" s="2"/>
      <c r="F30" s="6">
        <f t="shared" si="12"/>
        <v>9.6196326883317376E-2</v>
      </c>
      <c r="G30" s="2"/>
      <c r="H30" s="7">
        <v>1093.28161538462</v>
      </c>
      <c r="I30" s="2"/>
      <c r="J30" s="6">
        <f t="shared" si="13"/>
        <v>3.9185720981527596E-2</v>
      </c>
      <c r="K30" s="2"/>
      <c r="L30" s="7">
        <f t="shared" si="14"/>
        <v>497.50838461538001</v>
      </c>
      <c r="M30" s="2"/>
      <c r="N30" s="6">
        <f t="shared" si="15"/>
        <v>0.45505968234941457</v>
      </c>
      <c r="O30" s="11"/>
      <c r="P30" s="7">
        <v>4772.37</v>
      </c>
      <c r="Q30" s="2"/>
      <c r="R30" s="6">
        <f t="shared" si="16"/>
        <v>6.3620928649567837E-2</v>
      </c>
      <c r="S30" s="2"/>
      <c r="T30" s="7">
        <v>4296.7262115384601</v>
      </c>
      <c r="U30" s="2"/>
      <c r="V30" s="6">
        <f t="shared" si="17"/>
        <v>5.7061437072223907E-2</v>
      </c>
      <c r="W30" s="2"/>
      <c r="X30" s="7">
        <f t="shared" si="18"/>
        <v>475.64378846153977</v>
      </c>
      <c r="Y30" s="2"/>
      <c r="Z30" s="6">
        <f t="shared" si="19"/>
        <v>0.11069911487128094</v>
      </c>
    </row>
    <row r="31" spans="1:26" s="24" customFormat="1" hidden="1" outlineLevel="2" x14ac:dyDescent="0.25">
      <c r="A31" s="29"/>
      <c r="B31" s="11" t="str">
        <f>CONCATENATE("          ", "6116", " - ", "EDUCATIONAL BENEFITS")</f>
        <v xml:space="preserve">          6116 - EDUCATIONAL BENEFITS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9"/>
      <c r="B32" s="11" t="str">
        <f>CONCATENATE("          ", "6118", " - ", "VACATION")</f>
        <v xml:space="preserve">          6118 - VACATION</v>
      </c>
      <c r="C32" s="11"/>
      <c r="D32" s="7">
        <v>697.52</v>
      </c>
      <c r="E32" s="2"/>
      <c r="F32" s="6">
        <f t="shared" si="12"/>
        <v>4.2179584940596516E-2</v>
      </c>
      <c r="G32" s="2"/>
      <c r="H32" s="7">
        <v>1005.16115384615</v>
      </c>
      <c r="I32" s="2"/>
      <c r="J32" s="6">
        <f t="shared" si="13"/>
        <v>3.6027281499862007E-2</v>
      </c>
      <c r="K32" s="2"/>
      <c r="L32" s="7">
        <f t="shared" si="14"/>
        <v>-307.64115384615002</v>
      </c>
      <c r="M32" s="2"/>
      <c r="N32" s="6">
        <f t="shared" si="15"/>
        <v>-0.30606152323832997</v>
      </c>
      <c r="O32" s="11"/>
      <c r="P32" s="7">
        <v>3129.72</v>
      </c>
      <c r="Q32" s="2"/>
      <c r="R32" s="6">
        <f t="shared" si="16"/>
        <v>4.1722601728936652E-2</v>
      </c>
      <c r="S32" s="2"/>
      <c r="T32" s="7">
        <v>4131.3795192307598</v>
      </c>
      <c r="U32" s="2"/>
      <c r="V32" s="6">
        <f t="shared" si="17"/>
        <v>5.4865597864950329E-2</v>
      </c>
      <c r="W32" s="2"/>
      <c r="X32" s="7">
        <f t="shared" si="18"/>
        <v>-1001.65951923076</v>
      </c>
      <c r="Y32" s="2"/>
      <c r="Z32" s="6">
        <f t="shared" si="19"/>
        <v>-0.24245158658705446</v>
      </c>
    </row>
    <row r="33" spans="1:26" s="24" customFormat="1" hidden="1" outlineLevel="2" x14ac:dyDescent="0.25">
      <c r="A33" s="29"/>
      <c r="B33" s="11" t="str">
        <f>CONCATENATE("          ", "6119", " - ", "SICK LEAVE")</f>
        <v xml:space="preserve">          6119 - SICK LEAVE</v>
      </c>
      <c r="C33" s="11"/>
      <c r="D33" s="7">
        <v>566.41999999999996</v>
      </c>
      <c r="E33" s="2"/>
      <c r="F33" s="6">
        <f t="shared" si="12"/>
        <v>3.4251864465610564E-2</v>
      </c>
      <c r="G33" s="2"/>
      <c r="H33" s="7">
        <v>491.83115384615502</v>
      </c>
      <c r="I33" s="2"/>
      <c r="J33" s="6">
        <f t="shared" si="13"/>
        <v>1.7628356768679392E-2</v>
      </c>
      <c r="K33" s="2"/>
      <c r="L33" s="7">
        <f t="shared" si="14"/>
        <v>74.588846153844941</v>
      </c>
      <c r="M33" s="2"/>
      <c r="N33" s="6">
        <f t="shared" si="15"/>
        <v>0.15165539142967011</v>
      </c>
      <c r="O33" s="11"/>
      <c r="P33" s="7">
        <v>2043.42</v>
      </c>
      <c r="Q33" s="2"/>
      <c r="R33" s="6">
        <f t="shared" si="16"/>
        <v>2.7241030771105321E-2</v>
      </c>
      <c r="S33" s="2"/>
      <c r="T33" s="7">
        <v>2005.55413461539</v>
      </c>
      <c r="U33" s="2"/>
      <c r="V33" s="6">
        <f t="shared" si="17"/>
        <v>2.6634185054653255E-2</v>
      </c>
      <c r="W33" s="2"/>
      <c r="X33" s="7">
        <f t="shared" si="18"/>
        <v>37.865865384610061</v>
      </c>
      <c r="Y33" s="2"/>
      <c r="Z33" s="6">
        <f t="shared" si="19"/>
        <v>1.888050027224605E-2</v>
      </c>
    </row>
    <row r="34" spans="1:26" s="24" customFormat="1" hidden="1" outlineLevel="2" x14ac:dyDescent="0.25">
      <c r="A34" s="29"/>
      <c r="B34" s="11" t="str">
        <f>CONCATENATE("          ", "6156", " - ", "EMPLOYEE MEALS")</f>
        <v xml:space="preserve">          6156 - EMPLOYEE MEALS</v>
      </c>
      <c r="C34" s="11"/>
      <c r="D34" s="7">
        <v>317.54000000000002</v>
      </c>
      <c r="E34" s="2"/>
      <c r="F34" s="6">
        <f t="shared" si="12"/>
        <v>1.9201894428886656E-2</v>
      </c>
      <c r="G34" s="2"/>
      <c r="H34" s="7">
        <v>525</v>
      </c>
      <c r="I34" s="2"/>
      <c r="J34" s="6">
        <f t="shared" si="13"/>
        <v>1.8817204301075269E-2</v>
      </c>
      <c r="K34" s="2"/>
      <c r="L34" s="7">
        <f t="shared" si="14"/>
        <v>-207.45999999999998</v>
      </c>
      <c r="M34" s="2"/>
      <c r="N34" s="6">
        <f t="shared" si="15"/>
        <v>-0.39516190476190471</v>
      </c>
      <c r="O34" s="11"/>
      <c r="P34" s="7">
        <v>1236.05</v>
      </c>
      <c r="Q34" s="2"/>
      <c r="R34" s="6">
        <f t="shared" si="16"/>
        <v>1.6477902773108188E-2</v>
      </c>
      <c r="S34" s="2"/>
      <c r="T34" s="7">
        <v>1575</v>
      </c>
      <c r="U34" s="2"/>
      <c r="V34" s="6">
        <f t="shared" si="17"/>
        <v>2.091633466135458E-2</v>
      </c>
      <c r="W34" s="2"/>
      <c r="X34" s="7">
        <f t="shared" si="18"/>
        <v>-338.95000000000005</v>
      </c>
      <c r="Y34" s="2"/>
      <c r="Z34" s="6">
        <f t="shared" si="19"/>
        <v>-0.21520634920634923</v>
      </c>
    </row>
    <row r="35" spans="1:26" s="28" customFormat="1" outlineLevel="1" collapsed="1" x14ac:dyDescent="0.25">
      <c r="A35" s="27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17178.86</v>
      </c>
      <c r="E35" s="1"/>
      <c r="F35" s="5">
        <f t="shared" ref="F35:F45" si="20">IF(D$12=0,0,D35/D$12)</f>
        <v>1.0388192231801467</v>
      </c>
      <c r="G35" s="1"/>
      <c r="H35" s="1">
        <f>SUM(OSRRefH22_1x_0)</f>
        <v>12402.7846153846</v>
      </c>
      <c r="I35" s="1"/>
      <c r="J35" s="5">
        <f t="shared" ref="J35:J45" si="21">IF(H$12=0,0,H35/H$12)</f>
        <v>0.44454425144747672</v>
      </c>
      <c r="K35" s="1"/>
      <c r="L35" s="1">
        <f t="shared" ref="L35:L45" si="22">+D35-H35</f>
        <v>4776.0753846154003</v>
      </c>
      <c r="M35" s="1"/>
      <c r="N35" s="5">
        <f t="shared" ref="N35:N45" si="23">IF(H35=0,0,L35/H35)</f>
        <v>0.38508089374470672</v>
      </c>
      <c r="O35" s="14"/>
      <c r="P35" s="1">
        <f>SUM(OSRRefP22_1x_0)</f>
        <v>54561.1</v>
      </c>
      <c r="Q35" s="1"/>
      <c r="R35" s="5">
        <f t="shared" ref="R35:R45" si="24">IF(P$12=0,0,P35/P$12)</f>
        <v>0.72735933092822547</v>
      </c>
      <c r="S35" s="1"/>
      <c r="T35" s="1">
        <f>SUM(OSRRefT22_1x_0)</f>
        <v>46792.999038461603</v>
      </c>
      <c r="U35" s="1"/>
      <c r="V35" s="5">
        <f t="shared" ref="V35:V45" si="25">IF(T$12=0,0,T35/T$12)</f>
        <v>0.62142096996628959</v>
      </c>
      <c r="W35" s="1"/>
      <c r="X35" s="1">
        <f t="shared" ref="X35:X45" si="26">+P35-T35</f>
        <v>7768.1009615383955</v>
      </c>
      <c r="Y35" s="1"/>
      <c r="Z35" s="5">
        <f t="shared" ref="Z35:Z45" si="27">IF(T35=0,0,X35/T35)</f>
        <v>0.16600989723170742</v>
      </c>
    </row>
    <row r="36" spans="1:26" s="24" customFormat="1" hidden="1" outlineLevel="2" x14ac:dyDescent="0.25">
      <c r="A36" s="29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9"/>
      <c r="B37" s="11" t="str">
        <f>CONCATENATE("          ", "6002", " - ", "STAFF SALARIES")</f>
        <v xml:space="preserve">          6002 - STAFF SALARIES</v>
      </c>
      <c r="C37" s="11"/>
      <c r="D37" s="7">
        <v>14552.52</v>
      </c>
      <c r="E37" s="2"/>
      <c r="F37" s="6">
        <f t="shared" si="20"/>
        <v>0.8800023704549399</v>
      </c>
      <c r="G37" s="2"/>
      <c r="H37" s="7">
        <v>11249.1846153846</v>
      </c>
      <c r="I37" s="2"/>
      <c r="J37" s="6">
        <f t="shared" si="21"/>
        <v>0.40319658119658064</v>
      </c>
      <c r="K37" s="2"/>
      <c r="L37" s="7">
        <f t="shared" si="22"/>
        <v>3303.3353846154005</v>
      </c>
      <c r="M37" s="2"/>
      <c r="N37" s="6">
        <f t="shared" si="23"/>
        <v>0.29365109539563389</v>
      </c>
      <c r="O37" s="11"/>
      <c r="P37" s="7">
        <v>48819.14</v>
      </c>
      <c r="Q37" s="2"/>
      <c r="R37" s="6">
        <f t="shared" si="24"/>
        <v>0.65081270368250221</v>
      </c>
      <c r="S37" s="2"/>
      <c r="T37" s="7">
        <v>43908.999038461603</v>
      </c>
      <c r="U37" s="2"/>
      <c r="V37" s="6">
        <f t="shared" si="25"/>
        <v>0.58312083716416474</v>
      </c>
      <c r="W37" s="2"/>
      <c r="X37" s="7">
        <f t="shared" si="26"/>
        <v>4910.1409615383964</v>
      </c>
      <c r="Y37" s="2"/>
      <c r="Z37" s="6">
        <f t="shared" si="27"/>
        <v>0.11182539044530286</v>
      </c>
    </row>
    <row r="38" spans="1:26" s="24" customFormat="1" hidden="1" outlineLevel="2" x14ac:dyDescent="0.25">
      <c r="A38" s="29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9"/>
      <c r="B40" s="11" t="str">
        <f>CONCATENATE("          ", "6005", " - ", "TEMPORARY WAGES-HOURLY")</f>
        <v xml:space="preserve">          6005 - TEMPORARY WAGES-HOURLY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9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9"/>
      <c r="B42" s="11" t="str">
        <f>CONCATENATE("          ", "6007", " - ", "STUDENT HOURLY")</f>
        <v xml:space="preserve">          6007 - STUDENT HOURLY</v>
      </c>
      <c r="C42" s="11"/>
      <c r="D42" s="7">
        <v>2626.34</v>
      </c>
      <c r="E42" s="2"/>
      <c r="F42" s="6">
        <f t="shared" si="20"/>
        <v>0.15881685272520685</v>
      </c>
      <c r="G42" s="2"/>
      <c r="H42" s="7">
        <v>1153.5999999999999</v>
      </c>
      <c r="I42" s="2"/>
      <c r="J42" s="6">
        <f t="shared" si="21"/>
        <v>4.1347670250896057E-2</v>
      </c>
      <c r="K42" s="2"/>
      <c r="L42" s="7">
        <f t="shared" si="22"/>
        <v>1472.7400000000002</v>
      </c>
      <c r="M42" s="2"/>
      <c r="N42" s="6">
        <f t="shared" si="23"/>
        <v>1.2766470180305134</v>
      </c>
      <c r="O42" s="11"/>
      <c r="P42" s="7">
        <v>5741.96</v>
      </c>
      <c r="Q42" s="2"/>
      <c r="R42" s="6">
        <f t="shared" si="24"/>
        <v>7.6546627245723295E-2</v>
      </c>
      <c r="S42" s="2"/>
      <c r="T42" s="7">
        <v>2884</v>
      </c>
      <c r="U42" s="2"/>
      <c r="V42" s="6">
        <f t="shared" si="25"/>
        <v>3.8300132802124832E-2</v>
      </c>
      <c r="W42" s="2"/>
      <c r="X42" s="7">
        <f t="shared" si="26"/>
        <v>2857.96</v>
      </c>
      <c r="Y42" s="2"/>
      <c r="Z42" s="6">
        <f t="shared" si="27"/>
        <v>0.9909708737864078</v>
      </c>
    </row>
    <row r="43" spans="1:26" s="24" customFormat="1" hidden="1" outlineLevel="2" x14ac:dyDescent="0.25">
      <c r="A43" s="29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9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9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8" customFormat="1" outlineLevel="1" collapsed="1" x14ac:dyDescent="0.25">
      <c r="A46" s="27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SUM(OSRRefD22_2x_0)</f>
        <v>0</v>
      </c>
      <c r="E46" s="1"/>
      <c r="F46" s="5">
        <f t="shared" ref="F46:F54" si="28">IF(D$12=0,0,D46/D$12)</f>
        <v>0</v>
      </c>
      <c r="G46" s="1"/>
      <c r="H46" s="1">
        <f>SUM(OSRRefH22_2x_0)</f>
        <v>50</v>
      </c>
      <c r="I46" s="1"/>
      <c r="J46" s="5">
        <f t="shared" ref="J46:J54" si="29">IF(H$12=0,0,H46/H$12)</f>
        <v>1.7921146953405018E-3</v>
      </c>
      <c r="K46" s="1"/>
      <c r="L46" s="1">
        <f t="shared" ref="L46:L54" si="30">+D46-H46</f>
        <v>-50</v>
      </c>
      <c r="M46" s="1"/>
      <c r="N46" s="5">
        <f t="shared" ref="N46:N54" si="31">IF(H46=0,0,L46/H46)</f>
        <v>-1</v>
      </c>
      <c r="O46" s="14"/>
      <c r="P46" s="1">
        <f>SUM(OSRRefP22_2x_0)</f>
        <v>0</v>
      </c>
      <c r="Q46" s="1"/>
      <c r="R46" s="5">
        <f t="shared" ref="R46:R54" si="32">IF(P$12=0,0,P46/P$12)</f>
        <v>0</v>
      </c>
      <c r="S46" s="1"/>
      <c r="T46" s="1">
        <f>SUM(OSRRefT22_2x_0)</f>
        <v>150</v>
      </c>
      <c r="U46" s="1"/>
      <c r="V46" s="5">
        <f t="shared" ref="V46:V54" si="33">IF(T$12=0,0,T46/T$12)</f>
        <v>1.9920318725099601E-3</v>
      </c>
      <c r="W46" s="1"/>
      <c r="X46" s="1">
        <f t="shared" ref="X46:X54" si="34">+P46-T46</f>
        <v>-150</v>
      </c>
      <c r="Y46" s="1"/>
      <c r="Z46" s="5">
        <f t="shared" ref="Z46:Z54" si="35">IF(T46=0,0,X46/T46)</f>
        <v>-1</v>
      </c>
    </row>
    <row r="47" spans="1:26" s="24" customFormat="1" hidden="1" outlineLevel="2" x14ac:dyDescent="0.25">
      <c r="A47" s="29"/>
      <c r="B47" s="11" t="str">
        <f>CONCATENATE("          ", "6362", " - ", "ADVERTISING EXPENSE")</f>
        <v xml:space="preserve">          6362 - ADVERTISING EXPENSE</v>
      </c>
      <c r="C47" s="11"/>
      <c r="D47" s="7"/>
      <c r="E47" s="2"/>
      <c r="F47" s="6">
        <f t="shared" si="28"/>
        <v>0</v>
      </c>
      <c r="G47" s="2"/>
      <c r="H47" s="7">
        <v>50</v>
      </c>
      <c r="I47" s="2"/>
      <c r="J47" s="6">
        <f t="shared" si="29"/>
        <v>1.7921146953405018E-3</v>
      </c>
      <c r="K47" s="2"/>
      <c r="L47" s="7">
        <f t="shared" si="30"/>
        <v>-50</v>
      </c>
      <c r="M47" s="2"/>
      <c r="N47" s="6">
        <f t="shared" si="31"/>
        <v>-1</v>
      </c>
      <c r="O47" s="11"/>
      <c r="P47" s="7"/>
      <c r="Q47" s="2"/>
      <c r="R47" s="6">
        <f t="shared" si="32"/>
        <v>0</v>
      </c>
      <c r="S47" s="2"/>
      <c r="T47" s="7">
        <v>150</v>
      </c>
      <c r="U47" s="2"/>
      <c r="V47" s="6">
        <f t="shared" si="33"/>
        <v>1.9920318725099601E-3</v>
      </c>
      <c r="W47" s="2"/>
      <c r="X47" s="7">
        <f t="shared" si="34"/>
        <v>-150</v>
      </c>
      <c r="Y47" s="2"/>
      <c r="Z47" s="6">
        <f t="shared" si="35"/>
        <v>-1</v>
      </c>
    </row>
    <row r="48" spans="1:26" s="28" customFormat="1" outlineLevel="1" collapsed="1" x14ac:dyDescent="0.25">
      <c r="A48" s="27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SUM(OSRRefD22_3x_0)</f>
        <v>169.88</v>
      </c>
      <c r="E48" s="1"/>
      <c r="F48" s="5">
        <f t="shared" si="28"/>
        <v>1.0272777683376156E-2</v>
      </c>
      <c r="G48" s="1"/>
      <c r="H48" s="1">
        <f>SUM(OSRRefH22_3x_0)</f>
        <v>170</v>
      </c>
      <c r="I48" s="1"/>
      <c r="J48" s="5">
        <f t="shared" si="29"/>
        <v>6.0931899641577065E-3</v>
      </c>
      <c r="K48" s="1"/>
      <c r="L48" s="1">
        <f t="shared" si="30"/>
        <v>-0.12000000000000455</v>
      </c>
      <c r="M48" s="1"/>
      <c r="N48" s="5">
        <f t="shared" si="31"/>
        <v>-7.0588235294120319E-4</v>
      </c>
      <c r="O48" s="14"/>
      <c r="P48" s="1">
        <f>SUM(OSRRefP22_3x_0)</f>
        <v>509.64</v>
      </c>
      <c r="Q48" s="1"/>
      <c r="R48" s="5">
        <f t="shared" si="32"/>
        <v>6.7940604096006279E-3</v>
      </c>
      <c r="S48" s="1"/>
      <c r="T48" s="1">
        <f>SUM(OSRRefT22_3x_0)</f>
        <v>510</v>
      </c>
      <c r="U48" s="1"/>
      <c r="V48" s="5">
        <f t="shared" si="33"/>
        <v>6.7729083665338643E-3</v>
      </c>
      <c r="W48" s="1"/>
      <c r="X48" s="1">
        <f t="shared" si="34"/>
        <v>-0.36000000000001364</v>
      </c>
      <c r="Y48" s="1"/>
      <c r="Z48" s="5">
        <f t="shared" si="35"/>
        <v>-7.0588235294120319E-4</v>
      </c>
    </row>
    <row r="49" spans="1:26" s="24" customFormat="1" hidden="1" outlineLevel="2" x14ac:dyDescent="0.25">
      <c r="A49" s="29"/>
      <c r="B49" s="11" t="str">
        <f>CONCATENATE("          ", "6322", " - ", "EQUIPMENT DEPRECIATION EXPENSE")</f>
        <v xml:space="preserve">          6322 - EQUIPMENT DEPRECIATION EXPENSE</v>
      </c>
      <c r="C49" s="11"/>
      <c r="D49" s="7">
        <v>169.88</v>
      </c>
      <c r="E49" s="2"/>
      <c r="F49" s="6">
        <f t="shared" si="28"/>
        <v>1.0272777683376156E-2</v>
      </c>
      <c r="G49" s="2"/>
      <c r="H49" s="7">
        <v>170</v>
      </c>
      <c r="I49" s="2"/>
      <c r="J49" s="6">
        <f t="shared" si="29"/>
        <v>6.0931899641577065E-3</v>
      </c>
      <c r="K49" s="2"/>
      <c r="L49" s="7">
        <f t="shared" si="30"/>
        <v>-0.12000000000000455</v>
      </c>
      <c r="M49" s="2"/>
      <c r="N49" s="6">
        <f t="shared" si="31"/>
        <v>-7.0588235294120319E-4</v>
      </c>
      <c r="O49" s="11"/>
      <c r="P49" s="7">
        <v>509.64</v>
      </c>
      <c r="Q49" s="2"/>
      <c r="R49" s="6">
        <f t="shared" si="32"/>
        <v>6.7940604096006279E-3</v>
      </c>
      <c r="S49" s="2"/>
      <c r="T49" s="7">
        <v>510</v>
      </c>
      <c r="U49" s="2"/>
      <c r="V49" s="6">
        <f t="shared" si="33"/>
        <v>6.7729083665338643E-3</v>
      </c>
      <c r="W49" s="2"/>
      <c r="X49" s="7">
        <f t="shared" si="34"/>
        <v>-0.36000000000001364</v>
      </c>
      <c r="Y49" s="2"/>
      <c r="Z49" s="6">
        <f t="shared" si="35"/>
        <v>-7.0588235294120319E-4</v>
      </c>
    </row>
    <row r="50" spans="1:26" s="28" customFormat="1" outlineLevel="1" collapsed="1" x14ac:dyDescent="0.25">
      <c r="A50" s="27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SUM(OSRRefD22_4x_0)</f>
        <v>1205.6400000000001</v>
      </c>
      <c r="E50" s="1"/>
      <c r="F50" s="5">
        <f t="shared" si="28"/>
        <v>7.290600239101501E-2</v>
      </c>
      <c r="G50" s="1"/>
      <c r="H50" s="1">
        <f>SUM(OSRRefH22_4x_0)</f>
        <v>1300</v>
      </c>
      <c r="I50" s="1"/>
      <c r="J50" s="5">
        <f t="shared" si="29"/>
        <v>4.6594982078853049E-2</v>
      </c>
      <c r="K50" s="1"/>
      <c r="L50" s="1">
        <f t="shared" si="30"/>
        <v>-94.3599999999999</v>
      </c>
      <c r="M50" s="1"/>
      <c r="N50" s="5">
        <f t="shared" si="31"/>
        <v>-7.2584615384615303E-2</v>
      </c>
      <c r="O50" s="14"/>
      <c r="P50" s="1">
        <f>SUM(OSRRefP22_4x_0)</f>
        <v>3616.92</v>
      </c>
      <c r="Q50" s="1"/>
      <c r="R50" s="5">
        <f t="shared" si="32"/>
        <v>4.82175123159342E-2</v>
      </c>
      <c r="S50" s="1"/>
      <c r="T50" s="1">
        <f>SUM(OSRRefT22_4x_0)</f>
        <v>3700</v>
      </c>
      <c r="U50" s="1"/>
      <c r="V50" s="5">
        <f t="shared" si="33"/>
        <v>4.9136786188579015E-2</v>
      </c>
      <c r="W50" s="1"/>
      <c r="X50" s="1">
        <f t="shared" si="34"/>
        <v>-83.079999999999927</v>
      </c>
      <c r="Y50" s="1"/>
      <c r="Z50" s="5">
        <f t="shared" si="35"/>
        <v>-2.2454054054054033E-2</v>
      </c>
    </row>
    <row r="51" spans="1:26" s="24" customFormat="1" hidden="1" outlineLevel="2" x14ac:dyDescent="0.25">
      <c r="A51" s="29"/>
      <c r="B51" s="11" t="str">
        <f>CONCATENATE("          ", "6351", " - ", "EQUIPMENT RENTAL")</f>
        <v xml:space="preserve">          6351 - EQUIPMENT RENTAL</v>
      </c>
      <c r="C51" s="11"/>
      <c r="D51" s="7">
        <v>1205.6400000000001</v>
      </c>
      <c r="E51" s="2"/>
      <c r="F51" s="6">
        <f t="shared" si="28"/>
        <v>7.290600239101501E-2</v>
      </c>
      <c r="G51" s="2"/>
      <c r="H51" s="7">
        <v>1300</v>
      </c>
      <c r="I51" s="2"/>
      <c r="J51" s="6">
        <f t="shared" si="29"/>
        <v>4.6594982078853049E-2</v>
      </c>
      <c r="K51" s="2"/>
      <c r="L51" s="7">
        <f t="shared" si="30"/>
        <v>-94.3599999999999</v>
      </c>
      <c r="M51" s="2"/>
      <c r="N51" s="6">
        <f t="shared" si="31"/>
        <v>-7.2584615384615303E-2</v>
      </c>
      <c r="O51" s="11"/>
      <c r="P51" s="7">
        <v>3616.92</v>
      </c>
      <c r="Q51" s="2"/>
      <c r="R51" s="6">
        <f t="shared" si="32"/>
        <v>4.82175123159342E-2</v>
      </c>
      <c r="S51" s="2"/>
      <c r="T51" s="7">
        <v>3700</v>
      </c>
      <c r="U51" s="2"/>
      <c r="V51" s="6">
        <f t="shared" si="33"/>
        <v>4.9136786188579015E-2</v>
      </c>
      <c r="W51" s="2"/>
      <c r="X51" s="7">
        <f t="shared" si="34"/>
        <v>-83.079999999999927</v>
      </c>
      <c r="Y51" s="2"/>
      <c r="Z51" s="6">
        <f t="shared" si="35"/>
        <v>-2.2454054054054033E-2</v>
      </c>
    </row>
    <row r="52" spans="1:26" s="28" customFormat="1" outlineLevel="1" collapsed="1" x14ac:dyDescent="0.25">
      <c r="A52" s="27"/>
      <c r="B52" s="14" t="str">
        <f>CONCATENATE("     ","Freight out/Postage                               ")</f>
        <v xml:space="preserve">     Freight out/Postage                               </v>
      </c>
      <c r="C52" s="14"/>
      <c r="D52" s="1">
        <f>SUM(OSRRefD22_5x_0)</f>
        <v>3500.9700000000012</v>
      </c>
      <c r="E52" s="1"/>
      <c r="F52" s="5">
        <f t="shared" si="28"/>
        <v>0.21170641915569482</v>
      </c>
      <c r="G52" s="1"/>
      <c r="H52" s="1">
        <f>SUM(OSRRefH22_5x_0)</f>
        <v>-11100</v>
      </c>
      <c r="I52" s="1"/>
      <c r="J52" s="5">
        <f t="shared" si="29"/>
        <v>-0.39784946236559138</v>
      </c>
      <c r="K52" s="1"/>
      <c r="L52" s="1">
        <f t="shared" si="30"/>
        <v>14600.970000000001</v>
      </c>
      <c r="M52" s="1"/>
      <c r="N52" s="5">
        <f t="shared" si="31"/>
        <v>-1.3154027027027029</v>
      </c>
      <c r="O52" s="14"/>
      <c r="P52" s="1">
        <f>SUM(OSRRefP22_5x_0)</f>
        <v>-14403.119999999999</v>
      </c>
      <c r="Q52" s="1"/>
      <c r="R52" s="5">
        <f t="shared" si="32"/>
        <v>-0.19200939362437602</v>
      </c>
      <c r="S52" s="1"/>
      <c r="T52" s="1">
        <f>SUM(OSRRefT22_5x_0)</f>
        <v>-49300</v>
      </c>
      <c r="U52" s="1"/>
      <c r="V52" s="5">
        <f t="shared" si="33"/>
        <v>-0.65471447543160688</v>
      </c>
      <c r="W52" s="1"/>
      <c r="X52" s="1">
        <f t="shared" si="34"/>
        <v>34896.880000000005</v>
      </c>
      <c r="Y52" s="1"/>
      <c r="Z52" s="5">
        <f t="shared" si="35"/>
        <v>-0.7078474645030427</v>
      </c>
    </row>
    <row r="53" spans="1:26" s="24" customFormat="1" hidden="1" outlineLevel="2" x14ac:dyDescent="0.25">
      <c r="A53" s="29"/>
      <c r="B53" s="11" t="str">
        <f>CONCATENATE("          ", "6305", " - ", "FREIGHT OUT")</f>
        <v xml:space="preserve">          6305 - FREIGHT OUT</v>
      </c>
      <c r="C53" s="11"/>
      <c r="D53" s="7">
        <v>13197.43</v>
      </c>
      <c r="E53" s="2"/>
      <c r="F53" s="6">
        <f t="shared" si="28"/>
        <v>0.79805900860559809</v>
      </c>
      <c r="G53" s="2"/>
      <c r="H53" s="7">
        <v>500</v>
      </c>
      <c r="I53" s="2"/>
      <c r="J53" s="6">
        <f t="shared" si="29"/>
        <v>1.7921146953405017E-2</v>
      </c>
      <c r="K53" s="2"/>
      <c r="L53" s="7">
        <f t="shared" si="30"/>
        <v>12697.43</v>
      </c>
      <c r="M53" s="2"/>
      <c r="N53" s="6">
        <f t="shared" si="31"/>
        <v>25.394860000000001</v>
      </c>
      <c r="O53" s="11"/>
      <c r="P53" s="7">
        <v>27328.74</v>
      </c>
      <c r="Q53" s="2"/>
      <c r="R53" s="6">
        <f t="shared" si="32"/>
        <v>0.36432209104126262</v>
      </c>
      <c r="S53" s="2"/>
      <c r="T53" s="7">
        <v>16300</v>
      </c>
      <c r="U53" s="2"/>
      <c r="V53" s="6">
        <f t="shared" si="33"/>
        <v>0.21646746347941567</v>
      </c>
      <c r="W53" s="2"/>
      <c r="X53" s="7">
        <f t="shared" si="34"/>
        <v>11028.740000000002</v>
      </c>
      <c r="Y53" s="2"/>
      <c r="Z53" s="6">
        <f t="shared" si="35"/>
        <v>0.67660981595092029</v>
      </c>
    </row>
    <row r="54" spans="1:26" s="24" customFormat="1" hidden="1" outlineLevel="2" x14ac:dyDescent="0.25">
      <c r="A54" s="29"/>
      <c r="B54" s="11" t="str">
        <f>CONCATENATE("          ", "6307", " - ", "POSTAGE")</f>
        <v xml:space="preserve">          6307 - POSTAGE</v>
      </c>
      <c r="C54" s="11"/>
      <c r="D54" s="7">
        <v>-9696.4599999999991</v>
      </c>
      <c r="E54" s="2"/>
      <c r="F54" s="6">
        <f t="shared" si="28"/>
        <v>-0.58635258944990321</v>
      </c>
      <c r="G54" s="2"/>
      <c r="H54" s="7">
        <v>-11600</v>
      </c>
      <c r="I54" s="2"/>
      <c r="J54" s="6">
        <f t="shared" si="29"/>
        <v>-0.4157706093189964</v>
      </c>
      <c r="K54" s="2"/>
      <c r="L54" s="7">
        <f t="shared" si="30"/>
        <v>1903.5400000000009</v>
      </c>
      <c r="M54" s="2"/>
      <c r="N54" s="6">
        <f t="shared" si="31"/>
        <v>-0.16409827586206904</v>
      </c>
      <c r="O54" s="11"/>
      <c r="P54" s="7">
        <v>-41731.86</v>
      </c>
      <c r="Q54" s="2"/>
      <c r="R54" s="6">
        <f t="shared" si="32"/>
        <v>-0.55633148466563864</v>
      </c>
      <c r="S54" s="2"/>
      <c r="T54" s="7">
        <v>-65600</v>
      </c>
      <c r="U54" s="2"/>
      <c r="V54" s="6">
        <f t="shared" si="33"/>
        <v>-0.87118193891102258</v>
      </c>
      <c r="W54" s="2"/>
      <c r="X54" s="7">
        <f t="shared" si="34"/>
        <v>23868.14</v>
      </c>
      <c r="Y54" s="2"/>
      <c r="Z54" s="6">
        <f t="shared" si="35"/>
        <v>-0.36384359756097562</v>
      </c>
    </row>
    <row r="55" spans="1:26" s="28" customFormat="1" outlineLevel="1" collapsed="1" x14ac:dyDescent="0.25">
      <c r="A55" s="27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SUM(OSRRefD22_6x_0)</f>
        <v>91.31</v>
      </c>
      <c r="E55" s="1"/>
      <c r="F55" s="5">
        <f t="shared" ref="F55:F59" si="36">IF(D$12=0,0,D55/D$12)</f>
        <v>5.521587769420043E-3</v>
      </c>
      <c r="G55" s="1"/>
      <c r="H55" s="1">
        <f>SUM(OSRRefH22_6x_0)</f>
        <v>0</v>
      </c>
      <c r="I55" s="1"/>
      <c r="J55" s="5">
        <f t="shared" ref="J55:J59" si="37">IF(H$12=0,0,H55/H$12)</f>
        <v>0</v>
      </c>
      <c r="K55" s="1"/>
      <c r="L55" s="1">
        <f t="shared" ref="L55:L59" si="38">+D55-H55</f>
        <v>91.31</v>
      </c>
      <c r="M55" s="1"/>
      <c r="N55" s="5">
        <f t="shared" ref="N55:N59" si="39">IF(H55=0,0,L55/H55)</f>
        <v>0</v>
      </c>
      <c r="O55" s="14"/>
      <c r="P55" s="1">
        <f>SUM(OSRRefP22_6x_0)</f>
        <v>91.31</v>
      </c>
      <c r="Q55" s="1"/>
      <c r="R55" s="5">
        <f t="shared" ref="R55:R59" si="40">IF(P$12=0,0,P55/P$12)</f>
        <v>1.2172624911714806E-3</v>
      </c>
      <c r="S55" s="1"/>
      <c r="T55" s="1">
        <f>SUM(OSRRefT22_6x_0)</f>
        <v>0</v>
      </c>
      <c r="U55" s="1"/>
      <c r="V55" s="5">
        <f t="shared" ref="V55:V59" si="41">IF(T$12=0,0,T55/T$12)</f>
        <v>0</v>
      </c>
      <c r="W55" s="1"/>
      <c r="X55" s="1">
        <f t="shared" ref="X55:X59" si="42">+P55-T55</f>
        <v>91.31</v>
      </c>
      <c r="Y55" s="1"/>
      <c r="Z55" s="5">
        <f t="shared" ref="Z55:Z59" si="43">IF(T55=0,0,X55/T55)</f>
        <v>0</v>
      </c>
    </row>
    <row r="56" spans="1:26" s="24" customFormat="1" hidden="1" outlineLevel="2" x14ac:dyDescent="0.25">
      <c r="A56" s="29"/>
      <c r="B56" s="11" t="str">
        <f>CONCATENATE("          ", "6279", " - ", "GENERAL EXPENSE")</f>
        <v xml:space="preserve">          6279 - GENERAL EXPENSE</v>
      </c>
      <c r="C56" s="11"/>
      <c r="D56" s="7">
        <v>91.31</v>
      </c>
      <c r="E56" s="2"/>
      <c r="F56" s="6">
        <f t="shared" si="36"/>
        <v>5.521587769420043E-3</v>
      </c>
      <c r="G56" s="2"/>
      <c r="H56" s="7"/>
      <c r="I56" s="2"/>
      <c r="J56" s="6">
        <f t="shared" si="37"/>
        <v>0</v>
      </c>
      <c r="K56" s="2"/>
      <c r="L56" s="7">
        <f t="shared" si="38"/>
        <v>91.31</v>
      </c>
      <c r="M56" s="2"/>
      <c r="N56" s="6">
        <f t="shared" si="39"/>
        <v>0</v>
      </c>
      <c r="O56" s="11"/>
      <c r="P56" s="7">
        <v>91.31</v>
      </c>
      <c r="Q56" s="2"/>
      <c r="R56" s="6">
        <f t="shared" si="40"/>
        <v>1.2172624911714806E-3</v>
      </c>
      <c r="S56" s="2"/>
      <c r="T56" s="7"/>
      <c r="U56" s="2"/>
      <c r="V56" s="6">
        <f t="shared" si="41"/>
        <v>0</v>
      </c>
      <c r="W56" s="2"/>
      <c r="X56" s="7">
        <f t="shared" si="42"/>
        <v>91.31</v>
      </c>
      <c r="Y56" s="2"/>
      <c r="Z56" s="6">
        <f t="shared" si="43"/>
        <v>0</v>
      </c>
    </row>
    <row r="57" spans="1:26" s="28" customFormat="1" outlineLevel="1" collapsed="1" x14ac:dyDescent="0.25">
      <c r="A57" s="27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SUM(OSRRefD22_7x_0)</f>
        <v>0</v>
      </c>
      <c r="E57" s="1"/>
      <c r="F57" s="5">
        <f t="shared" si="36"/>
        <v>0</v>
      </c>
      <c r="G57" s="1"/>
      <c r="H57" s="1">
        <f>SUM(OSRRefH22_7x_0)</f>
        <v>8000</v>
      </c>
      <c r="I57" s="1"/>
      <c r="J57" s="5">
        <f t="shared" si="37"/>
        <v>0.28673835125448027</v>
      </c>
      <c r="K57" s="1"/>
      <c r="L57" s="1">
        <f t="shared" si="38"/>
        <v>-8000</v>
      </c>
      <c r="M57" s="1"/>
      <c r="N57" s="5">
        <f t="shared" si="39"/>
        <v>-1</v>
      </c>
      <c r="O57" s="14"/>
      <c r="P57" s="1">
        <f>SUM(OSRRefP22_7x_0)</f>
        <v>4077.52</v>
      </c>
      <c r="Q57" s="1"/>
      <c r="R57" s="5">
        <f t="shared" si="40"/>
        <v>5.4357815715710606E-2</v>
      </c>
      <c r="S57" s="1"/>
      <c r="T57" s="1">
        <f>SUM(OSRRefT22_7x_0)</f>
        <v>18000</v>
      </c>
      <c r="U57" s="1"/>
      <c r="V57" s="5">
        <f t="shared" si="41"/>
        <v>0.23904382470119523</v>
      </c>
      <c r="W57" s="1"/>
      <c r="X57" s="1">
        <f t="shared" si="42"/>
        <v>-13922.48</v>
      </c>
      <c r="Y57" s="1"/>
      <c r="Z57" s="5">
        <f t="shared" si="43"/>
        <v>-0.77347111111111111</v>
      </c>
    </row>
    <row r="58" spans="1:26" s="24" customFormat="1" hidden="1" outlineLevel="2" x14ac:dyDescent="0.25">
      <c r="A58" s="29"/>
      <c r="B58" s="11" t="str">
        <f>CONCATENATE("          ", "6373", " - ", "MAINTENANCE CONTRACTS")</f>
        <v xml:space="preserve">          6373 - MAINTENANCE CONTRACTS</v>
      </c>
      <c r="C58" s="11"/>
      <c r="D58" s="7"/>
      <c r="E58" s="2"/>
      <c r="F58" s="6">
        <f t="shared" si="36"/>
        <v>0</v>
      </c>
      <c r="G58" s="2"/>
      <c r="H58" s="7">
        <v>8000</v>
      </c>
      <c r="I58" s="2"/>
      <c r="J58" s="6">
        <f t="shared" si="37"/>
        <v>0.28673835125448027</v>
      </c>
      <c r="K58" s="2"/>
      <c r="L58" s="7">
        <f t="shared" si="38"/>
        <v>-8000</v>
      </c>
      <c r="M58" s="2"/>
      <c r="N58" s="6">
        <f t="shared" si="39"/>
        <v>-1</v>
      </c>
      <c r="O58" s="11"/>
      <c r="P58" s="7">
        <v>681.08</v>
      </c>
      <c r="Q58" s="2"/>
      <c r="R58" s="6">
        <f t="shared" si="40"/>
        <v>9.079543724532603E-3</v>
      </c>
      <c r="S58" s="2"/>
      <c r="T58" s="7">
        <v>18000</v>
      </c>
      <c r="U58" s="2"/>
      <c r="V58" s="6">
        <f t="shared" si="41"/>
        <v>0.23904382470119523</v>
      </c>
      <c r="W58" s="2"/>
      <c r="X58" s="7">
        <f t="shared" si="42"/>
        <v>-17318.919999999998</v>
      </c>
      <c r="Y58" s="2"/>
      <c r="Z58" s="6">
        <f t="shared" si="43"/>
        <v>-0.96216222222222214</v>
      </c>
    </row>
    <row r="59" spans="1:26" s="24" customFormat="1" hidden="1" outlineLevel="2" x14ac:dyDescent="0.25">
      <c r="A59" s="29"/>
      <c r="B59" s="11" t="str">
        <f>CONCATENATE("          ", "6375", " - ", "OUTSIDE REPAIRS &amp; MAINTENANCE")</f>
        <v xml:space="preserve">          6375 - OUTSIDE REPAIRS &amp; MAINTENANCE</v>
      </c>
      <c r="C59" s="11"/>
      <c r="D59" s="7"/>
      <c r="E59" s="2"/>
      <c r="F59" s="6">
        <f t="shared" si="36"/>
        <v>0</v>
      </c>
      <c r="G59" s="2"/>
      <c r="H59" s="7"/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>
        <v>3396.44</v>
      </c>
      <c r="Q59" s="2"/>
      <c r="R59" s="6">
        <f t="shared" si="40"/>
        <v>4.5278271991178003E-2</v>
      </c>
      <c r="S59" s="2"/>
      <c r="T59" s="7"/>
      <c r="U59" s="2"/>
      <c r="V59" s="6">
        <f t="shared" si="41"/>
        <v>0</v>
      </c>
      <c r="W59" s="2"/>
      <c r="X59" s="7">
        <f t="shared" si="42"/>
        <v>3396.44</v>
      </c>
      <c r="Y59" s="2"/>
      <c r="Z59" s="6">
        <f t="shared" si="43"/>
        <v>0</v>
      </c>
    </row>
    <row r="60" spans="1:26" s="28" customFormat="1" outlineLevel="1" collapsed="1" x14ac:dyDescent="0.25">
      <c r="A60" s="27"/>
      <c r="B60" s="14" t="str">
        <f>CONCATENATE("     ","Royalty &amp; Commissions                             ")</f>
        <v xml:space="preserve">     Royalty &amp; Commissions                             </v>
      </c>
      <c r="C60" s="14"/>
      <c r="D60" s="1">
        <f>SUM(OSRRefD22_8x_0)</f>
        <v>1174.22</v>
      </c>
      <c r="E60" s="1"/>
      <c r="F60" s="5">
        <f t="shared" ref="F60:F66" si="44">IF(D$12=0,0,D60/D$12)</f>
        <v>7.1006010191746821E-2</v>
      </c>
      <c r="G60" s="1"/>
      <c r="H60" s="1">
        <f>SUM(OSRRefH22_8x_0)</f>
        <v>500</v>
      </c>
      <c r="I60" s="1"/>
      <c r="J60" s="5">
        <f t="shared" ref="J60:J66" si="45">IF(H$12=0,0,H60/H$12)</f>
        <v>1.7921146953405017E-2</v>
      </c>
      <c r="K60" s="1"/>
      <c r="L60" s="1">
        <f t="shared" ref="L60:L66" si="46">+D60-H60</f>
        <v>674.22</v>
      </c>
      <c r="M60" s="1"/>
      <c r="N60" s="5">
        <f t="shared" ref="N60:N66" si="47">IF(H60=0,0,L60/H60)</f>
        <v>1.3484400000000001</v>
      </c>
      <c r="O60" s="14"/>
      <c r="P60" s="1">
        <f>SUM(OSRRefP22_8x_0)</f>
        <v>1782.17</v>
      </c>
      <c r="Q60" s="1"/>
      <c r="R60" s="5">
        <f t="shared" ref="R60:R66" si="48">IF(P$12=0,0,P60/P$12)</f>
        <v>2.3758281610897793E-2</v>
      </c>
      <c r="S60" s="1"/>
      <c r="T60" s="1">
        <f>SUM(OSRRefT22_8x_0)</f>
        <v>9500</v>
      </c>
      <c r="U60" s="1"/>
      <c r="V60" s="5">
        <f t="shared" ref="V60:V66" si="49">IF(T$12=0,0,T60/T$12)</f>
        <v>0.12616201859229748</v>
      </c>
      <c r="W60" s="1"/>
      <c r="X60" s="1">
        <f t="shared" ref="X60:X66" si="50">+P60-T60</f>
        <v>-7717.83</v>
      </c>
      <c r="Y60" s="1"/>
      <c r="Z60" s="5">
        <f t="shared" ref="Z60:Z66" si="51">IF(T60=0,0,X60/T60)</f>
        <v>-0.81240315789473683</v>
      </c>
    </row>
    <row r="61" spans="1:26" s="24" customFormat="1" hidden="1" outlineLevel="2" x14ac:dyDescent="0.25">
      <c r="A61" s="29"/>
      <c r="B61" s="11" t="str">
        <f>CONCATENATE("          ", "6259", " - ", "ROYALTY &amp; COMMISSIONS")</f>
        <v xml:space="preserve">          6259 - ROYALTY &amp; COMMISSIONS</v>
      </c>
      <c r="C61" s="11"/>
      <c r="D61" s="7">
        <v>1174.22</v>
      </c>
      <c r="E61" s="2"/>
      <c r="F61" s="6">
        <f t="shared" si="44"/>
        <v>7.1006010191746821E-2</v>
      </c>
      <c r="G61" s="2"/>
      <c r="H61" s="7">
        <v>500</v>
      </c>
      <c r="I61" s="2"/>
      <c r="J61" s="6">
        <f t="shared" si="45"/>
        <v>1.7921146953405017E-2</v>
      </c>
      <c r="K61" s="2"/>
      <c r="L61" s="7">
        <f t="shared" si="46"/>
        <v>674.22</v>
      </c>
      <c r="M61" s="2"/>
      <c r="N61" s="6">
        <f t="shared" si="47"/>
        <v>1.3484400000000001</v>
      </c>
      <c r="O61" s="11"/>
      <c r="P61" s="7">
        <v>1782.17</v>
      </c>
      <c r="Q61" s="2"/>
      <c r="R61" s="6">
        <f t="shared" si="48"/>
        <v>2.3758281610897793E-2</v>
      </c>
      <c r="S61" s="2"/>
      <c r="T61" s="7">
        <v>9500</v>
      </c>
      <c r="U61" s="2"/>
      <c r="V61" s="6">
        <f t="shared" si="49"/>
        <v>0.12616201859229748</v>
      </c>
      <c r="W61" s="2"/>
      <c r="X61" s="7">
        <f t="shared" si="50"/>
        <v>-7717.83</v>
      </c>
      <c r="Y61" s="2"/>
      <c r="Z61" s="6">
        <f t="shared" si="51"/>
        <v>-0.81240315789473683</v>
      </c>
    </row>
    <row r="62" spans="1:26" s="28" customFormat="1" outlineLevel="1" collapsed="1" x14ac:dyDescent="0.25">
      <c r="A62" s="27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SUM(OSRRefD22_9x_0)</f>
        <v>2879.46</v>
      </c>
      <c r="E62" s="1"/>
      <c r="F62" s="5">
        <f t="shared" si="44"/>
        <v>0.17412321890849017</v>
      </c>
      <c r="G62" s="1"/>
      <c r="H62" s="1">
        <f>SUM(OSRRefH22_9x_0)</f>
        <v>9200</v>
      </c>
      <c r="I62" s="1"/>
      <c r="J62" s="5">
        <f t="shared" si="45"/>
        <v>0.32974910394265233</v>
      </c>
      <c r="K62" s="1"/>
      <c r="L62" s="1">
        <f t="shared" si="46"/>
        <v>-6320.54</v>
      </c>
      <c r="M62" s="1"/>
      <c r="N62" s="5">
        <f t="shared" si="47"/>
        <v>-0.68701521739130433</v>
      </c>
      <c r="O62" s="14"/>
      <c r="P62" s="1">
        <f>SUM(OSRRefP22_9x_0)</f>
        <v>13039.11</v>
      </c>
      <c r="Q62" s="1"/>
      <c r="R62" s="5">
        <f t="shared" si="48"/>
        <v>0.17382564364537251</v>
      </c>
      <c r="S62" s="1"/>
      <c r="T62" s="1">
        <f>SUM(OSRRefT22_9x_0)</f>
        <v>14560</v>
      </c>
      <c r="U62" s="1"/>
      <c r="V62" s="5">
        <f t="shared" si="49"/>
        <v>0.19335989375830012</v>
      </c>
      <c r="W62" s="1"/>
      <c r="X62" s="1">
        <f t="shared" si="50"/>
        <v>-1520.8899999999994</v>
      </c>
      <c r="Y62" s="1"/>
      <c r="Z62" s="5">
        <f t="shared" si="51"/>
        <v>-0.10445673076923073</v>
      </c>
    </row>
    <row r="63" spans="1:26" s="24" customFormat="1" hidden="1" outlineLevel="2" x14ac:dyDescent="0.25">
      <c r="A63" s="29"/>
      <c r="B63" s="11" t="str">
        <f>CONCATENATE("          ", "6241", " - ", "OFFICE EXPENSE")</f>
        <v xml:space="preserve">          6241 - OFFICE EXPENSE</v>
      </c>
      <c r="C63" s="11"/>
      <c r="D63" s="7">
        <v>2.19</v>
      </c>
      <c r="E63" s="2"/>
      <c r="F63" s="6">
        <f t="shared" si="44"/>
        <v>1.3243102852951368E-4</v>
      </c>
      <c r="G63" s="2"/>
      <c r="H63" s="7"/>
      <c r="I63" s="2"/>
      <c r="J63" s="6">
        <f t="shared" si="45"/>
        <v>0</v>
      </c>
      <c r="K63" s="2"/>
      <c r="L63" s="7">
        <f t="shared" si="46"/>
        <v>2.19</v>
      </c>
      <c r="M63" s="2"/>
      <c r="N63" s="6">
        <f t="shared" si="47"/>
        <v>0</v>
      </c>
      <c r="O63" s="11"/>
      <c r="P63" s="7">
        <v>4831.75</v>
      </c>
      <c r="Q63" s="2"/>
      <c r="R63" s="6">
        <f t="shared" si="48"/>
        <v>6.4412529205101321E-2</v>
      </c>
      <c r="S63" s="2"/>
      <c r="T63" s="7"/>
      <c r="U63" s="2"/>
      <c r="V63" s="6">
        <f t="shared" si="49"/>
        <v>0</v>
      </c>
      <c r="W63" s="2"/>
      <c r="X63" s="7">
        <f t="shared" si="50"/>
        <v>4831.75</v>
      </c>
      <c r="Y63" s="2"/>
      <c r="Z63" s="6">
        <f t="shared" si="51"/>
        <v>0</v>
      </c>
    </row>
    <row r="64" spans="1:26" s="24" customFormat="1" hidden="1" outlineLevel="2" x14ac:dyDescent="0.25">
      <c r="A64" s="29"/>
      <c r="B64" s="11" t="str">
        <f>CONCATENATE("          ", "6243", " - ", "PAPER SUPPLIES")</f>
        <v xml:space="preserve">          6243 - PAPER SUPPLIES</v>
      </c>
      <c r="C64" s="11"/>
      <c r="D64" s="7"/>
      <c r="E64" s="2"/>
      <c r="F64" s="6">
        <f t="shared" si="44"/>
        <v>0</v>
      </c>
      <c r="G64" s="2"/>
      <c r="H64" s="7">
        <v>7500</v>
      </c>
      <c r="I64" s="2"/>
      <c r="J64" s="6">
        <f t="shared" si="45"/>
        <v>0.26881720430107525</v>
      </c>
      <c r="K64" s="2"/>
      <c r="L64" s="7">
        <f t="shared" si="46"/>
        <v>-7500</v>
      </c>
      <c r="M64" s="2"/>
      <c r="N64" s="6">
        <f t="shared" si="47"/>
        <v>-1</v>
      </c>
      <c r="O64" s="11"/>
      <c r="P64" s="7">
        <v>3450.92</v>
      </c>
      <c r="Q64" s="2"/>
      <c r="R64" s="6">
        <f t="shared" si="48"/>
        <v>4.6004550170118126E-2</v>
      </c>
      <c r="S64" s="2"/>
      <c r="T64" s="7">
        <v>12600</v>
      </c>
      <c r="U64" s="2"/>
      <c r="V64" s="6">
        <f t="shared" si="49"/>
        <v>0.16733067729083664</v>
      </c>
      <c r="W64" s="2"/>
      <c r="X64" s="7">
        <f t="shared" si="50"/>
        <v>-9149.08</v>
      </c>
      <c r="Y64" s="2"/>
      <c r="Z64" s="6">
        <f t="shared" si="51"/>
        <v>-0.72611746031746027</v>
      </c>
    </row>
    <row r="65" spans="1:26" s="24" customFormat="1" hidden="1" outlineLevel="2" x14ac:dyDescent="0.25">
      <c r="A65" s="29"/>
      <c r="B65" s="11" t="str">
        <f>CONCATENATE("          ", "6245", " - ", "PRINTING")</f>
        <v xml:space="preserve">          6245 - PRINTING</v>
      </c>
      <c r="C65" s="11"/>
      <c r="D65" s="7">
        <v>276.43</v>
      </c>
      <c r="E65" s="2"/>
      <c r="F65" s="6">
        <f t="shared" si="44"/>
        <v>1.6715940281467338E-2</v>
      </c>
      <c r="G65" s="2"/>
      <c r="H65" s="7">
        <v>1600</v>
      </c>
      <c r="I65" s="2"/>
      <c r="J65" s="6">
        <f t="shared" si="45"/>
        <v>5.7347670250896057E-2</v>
      </c>
      <c r="K65" s="2"/>
      <c r="L65" s="7">
        <f t="shared" si="46"/>
        <v>-1323.57</v>
      </c>
      <c r="M65" s="2"/>
      <c r="N65" s="6">
        <f t="shared" si="47"/>
        <v>-0.82723124999999997</v>
      </c>
      <c r="O65" s="11"/>
      <c r="P65" s="7">
        <v>-659.07</v>
      </c>
      <c r="Q65" s="2"/>
      <c r="R65" s="6">
        <f t="shared" si="48"/>
        <v>-8.7861262737530151E-3</v>
      </c>
      <c r="S65" s="2"/>
      <c r="T65" s="7">
        <v>1655</v>
      </c>
      <c r="U65" s="2"/>
      <c r="V65" s="6">
        <f t="shared" si="49"/>
        <v>2.1978751660026559E-2</v>
      </c>
      <c r="W65" s="2"/>
      <c r="X65" s="7">
        <f t="shared" si="50"/>
        <v>-2314.0700000000002</v>
      </c>
      <c r="Y65" s="2"/>
      <c r="Z65" s="6">
        <f t="shared" si="51"/>
        <v>-1.3982296072507554</v>
      </c>
    </row>
    <row r="66" spans="1:26" s="24" customFormat="1" hidden="1" outlineLevel="2" x14ac:dyDescent="0.25">
      <c r="A66" s="29"/>
      <c r="B66" s="11" t="str">
        <f>CONCATENATE("          ", "6247", " - ", "STORE SUPPLIES")</f>
        <v xml:space="preserve">          6247 - STORE SUPPLIES</v>
      </c>
      <c r="C66" s="11"/>
      <c r="D66" s="7">
        <v>2600.84</v>
      </c>
      <c r="E66" s="2"/>
      <c r="F66" s="6">
        <f t="shared" si="44"/>
        <v>0.15727484759849333</v>
      </c>
      <c r="G66" s="2"/>
      <c r="H66" s="7">
        <v>100</v>
      </c>
      <c r="I66" s="2"/>
      <c r="J66" s="6">
        <f t="shared" si="45"/>
        <v>3.5842293906810036E-3</v>
      </c>
      <c r="K66" s="2"/>
      <c r="L66" s="7">
        <f t="shared" si="46"/>
        <v>2500.84</v>
      </c>
      <c r="M66" s="2"/>
      <c r="N66" s="6">
        <f t="shared" si="47"/>
        <v>25.008400000000002</v>
      </c>
      <c r="O66" s="11"/>
      <c r="P66" s="7">
        <v>5415.51</v>
      </c>
      <c r="Q66" s="2"/>
      <c r="R66" s="6">
        <f t="shared" si="48"/>
        <v>7.2194690543906093E-2</v>
      </c>
      <c r="S66" s="2"/>
      <c r="T66" s="7">
        <v>305</v>
      </c>
      <c r="U66" s="2"/>
      <c r="V66" s="6">
        <f t="shared" si="49"/>
        <v>4.0504648074369187E-3</v>
      </c>
      <c r="W66" s="2"/>
      <c r="X66" s="7">
        <f t="shared" si="50"/>
        <v>5110.51</v>
      </c>
      <c r="Y66" s="2"/>
      <c r="Z66" s="6">
        <f t="shared" si="51"/>
        <v>16.755770491803279</v>
      </c>
    </row>
    <row r="67" spans="1:26" s="28" customFormat="1" outlineLevel="1" collapsed="1" x14ac:dyDescent="0.25">
      <c r="A67" s="27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SUM(OSRRefD22_10x_0)</f>
        <v>159.4</v>
      </c>
      <c r="E67" s="1"/>
      <c r="F67" s="5">
        <f t="shared" ref="F67:F68" si="52">IF(D$12=0,0,D67/D$12)</f>
        <v>9.6390438116915438E-3</v>
      </c>
      <c r="G67" s="1"/>
      <c r="H67" s="1">
        <f>SUM(OSRRefH22_10x_0)</f>
        <v>175</v>
      </c>
      <c r="I67" s="1"/>
      <c r="J67" s="5">
        <f t="shared" ref="J67:J68" si="53">IF(H$12=0,0,H67/H$12)</f>
        <v>6.2724014336917565E-3</v>
      </c>
      <c r="K67" s="1"/>
      <c r="L67" s="1">
        <f t="shared" ref="L67:L68" si="54">+D67-H67</f>
        <v>-15.599999999999994</v>
      </c>
      <c r="M67" s="1"/>
      <c r="N67" s="5">
        <f t="shared" ref="N67:N68" si="55">IF(H67=0,0,L67/H67)</f>
        <v>-8.9142857142857107E-2</v>
      </c>
      <c r="O67" s="14"/>
      <c r="P67" s="1">
        <f>SUM(OSRRefP22_10x_0)</f>
        <v>486.7</v>
      </c>
      <c r="Q67" s="1"/>
      <c r="R67" s="5">
        <f t="shared" ref="R67:R68" si="56">IF(P$12=0,0,P67/P$12)</f>
        <v>6.4882450383655635E-3</v>
      </c>
      <c r="S67" s="1"/>
      <c r="T67" s="1">
        <f>SUM(OSRRefT22_10x_0)</f>
        <v>525</v>
      </c>
      <c r="U67" s="1"/>
      <c r="V67" s="5">
        <f t="shared" ref="V67:V68" si="57">IF(T$12=0,0,T67/T$12)</f>
        <v>6.9721115537848604E-3</v>
      </c>
      <c r="W67" s="1"/>
      <c r="X67" s="1">
        <f t="shared" ref="X67:X68" si="58">+P67-T67</f>
        <v>-38.300000000000011</v>
      </c>
      <c r="Y67" s="1"/>
      <c r="Z67" s="5">
        <f t="shared" ref="Z67:Z68" si="59">IF(T67=0,0,X67/T67)</f>
        <v>-7.2952380952380977E-2</v>
      </c>
    </row>
    <row r="68" spans="1:26" s="24" customFormat="1" hidden="1" outlineLevel="2" x14ac:dyDescent="0.25">
      <c r="A68" s="29"/>
      <c r="B68" s="11" t="str">
        <f>CONCATENATE("          ", "6309", " - ", "TELEPHONE")</f>
        <v xml:space="preserve">          6309 - TELEPHONE</v>
      </c>
      <c r="C68" s="11"/>
      <c r="D68" s="7">
        <v>159.4</v>
      </c>
      <c r="E68" s="2"/>
      <c r="F68" s="6">
        <f t="shared" si="52"/>
        <v>9.6390438116915438E-3</v>
      </c>
      <c r="G68" s="2"/>
      <c r="H68" s="7">
        <v>175</v>
      </c>
      <c r="I68" s="2"/>
      <c r="J68" s="6">
        <f t="shared" si="53"/>
        <v>6.2724014336917565E-3</v>
      </c>
      <c r="K68" s="2"/>
      <c r="L68" s="7">
        <f t="shared" si="54"/>
        <v>-15.599999999999994</v>
      </c>
      <c r="M68" s="2"/>
      <c r="N68" s="6">
        <f t="shared" si="55"/>
        <v>-8.9142857142857107E-2</v>
      </c>
      <c r="O68" s="11"/>
      <c r="P68" s="7">
        <v>486.7</v>
      </c>
      <c r="Q68" s="2"/>
      <c r="R68" s="6">
        <f t="shared" si="56"/>
        <v>6.4882450383655635E-3</v>
      </c>
      <c r="S68" s="2"/>
      <c r="T68" s="7">
        <v>525</v>
      </c>
      <c r="U68" s="2"/>
      <c r="V68" s="6">
        <f t="shared" si="57"/>
        <v>6.9721115537848604E-3</v>
      </c>
      <c r="W68" s="2"/>
      <c r="X68" s="7">
        <f t="shared" si="58"/>
        <v>-38.300000000000011</v>
      </c>
      <c r="Y68" s="2"/>
      <c r="Z68" s="6">
        <f t="shared" si="59"/>
        <v>-7.2952380952380977E-2</v>
      </c>
    </row>
    <row r="69" spans="1:26" s="58" customFormat="1" x14ac:dyDescent="0.25">
      <c r="A69" s="36"/>
      <c r="B69" s="36"/>
      <c r="C69" s="36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6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collapsed="1" x14ac:dyDescent="0.25">
      <c r="A70" s="10"/>
      <c r="B70" s="26" t="s">
        <v>293</v>
      </c>
      <c r="C70" s="10"/>
      <c r="D70" s="4">
        <f>SUM(OSRRefD25x_0)</f>
        <v>14899</v>
      </c>
      <c r="E70" s="4"/>
      <c r="F70" s="12">
        <f t="shared" ref="F70:F71" si="60">IF(D$12=0,0,D70/D$12)</f>
        <v>0.90095428952567314</v>
      </c>
      <c r="G70" s="4"/>
      <c r="H70" s="4">
        <f>SUM(OSRRefH25x_0)</f>
        <v>6782</v>
      </c>
      <c r="I70" s="4"/>
      <c r="J70" s="12">
        <f t="shared" ref="J70:J71" si="61">IF(H$12=0,0,H70/H$12)</f>
        <v>0.24308243727598566</v>
      </c>
      <c r="K70" s="4"/>
      <c r="L70" s="4">
        <f t="shared" ref="L70:L71" si="62">+D70-H70</f>
        <v>8117</v>
      </c>
      <c r="M70" s="4"/>
      <c r="N70" s="12">
        <f t="shared" ref="N70:N71" si="63">IF(H70=0,0,L70/H70)</f>
        <v>1.1968445886169272</v>
      </c>
      <c r="O70" s="10"/>
      <c r="P70" s="4">
        <f>SUM(OSRRefP25x_0)</f>
        <v>14899</v>
      </c>
      <c r="Q70" s="4"/>
      <c r="R70" s="12">
        <f t="shared" ref="R70:R71" si="64">IF(P$12=0,0,P70/P$12)</f>
        <v>0.19862001813562469</v>
      </c>
      <c r="S70" s="4"/>
      <c r="T70" s="4">
        <f>SUM(OSRRefT25x_0)</f>
        <v>20346</v>
      </c>
      <c r="U70" s="4"/>
      <c r="V70" s="12">
        <f t="shared" ref="V70:V71" si="65">IF(T$12=0,0,T70/T$12)</f>
        <v>0.27019920318725099</v>
      </c>
      <c r="W70" s="4"/>
      <c r="X70" s="4">
        <f t="shared" ref="X70:X71" si="66">+P70-T70</f>
        <v>-5447</v>
      </c>
      <c r="Y70" s="4"/>
      <c r="Z70" s="12">
        <f t="shared" ref="Z70:Z71" si="67">IF(T70=0,0,X70/T70)</f>
        <v>-0.26771847046102426</v>
      </c>
    </row>
    <row r="71" spans="1:26" s="24" customFormat="1" hidden="1" outlineLevel="1" x14ac:dyDescent="0.25">
      <c r="A71" s="44"/>
      <c r="B71" s="11" t="str">
        <f>CONCATENATE("          ", "9150", " - ", "MISC. INCOME")</f>
        <v xml:space="preserve">          9150 - MISC. INCOME</v>
      </c>
      <c r="C71" s="11"/>
      <c r="D71" s="2">
        <f>--14899</f>
        <v>14899</v>
      </c>
      <c r="E71" s="2"/>
      <c r="F71" s="19">
        <f t="shared" si="60"/>
        <v>0.90095428952567314</v>
      </c>
      <c r="G71" s="2"/>
      <c r="H71" s="2">
        <v>6782</v>
      </c>
      <c r="I71" s="2"/>
      <c r="J71" s="19">
        <f t="shared" si="61"/>
        <v>0.24308243727598566</v>
      </c>
      <c r="K71" s="2"/>
      <c r="L71" s="2">
        <f t="shared" si="62"/>
        <v>8117</v>
      </c>
      <c r="M71" s="2"/>
      <c r="N71" s="19">
        <f t="shared" si="63"/>
        <v>1.1968445886169272</v>
      </c>
      <c r="O71" s="11"/>
      <c r="P71" s="2">
        <f>--14899</f>
        <v>14899</v>
      </c>
      <c r="Q71" s="2"/>
      <c r="R71" s="19">
        <f t="shared" si="64"/>
        <v>0.19862001813562469</v>
      </c>
      <c r="S71" s="2"/>
      <c r="T71" s="2">
        <v>20346</v>
      </c>
      <c r="U71" s="2"/>
      <c r="V71" s="19">
        <f t="shared" si="65"/>
        <v>0.27019920318725099</v>
      </c>
      <c r="W71" s="2"/>
      <c r="X71" s="2">
        <f t="shared" si="66"/>
        <v>-5447</v>
      </c>
      <c r="Y71" s="2"/>
      <c r="Z71" s="19">
        <f t="shared" si="67"/>
        <v>-0.26771847046102426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5" t="s">
        <v>277</v>
      </c>
      <c r="C73" s="25"/>
      <c r="D73" s="21">
        <f>+D22-D24+D70</f>
        <v>-3127.9000000000051</v>
      </c>
      <c r="E73" s="13"/>
      <c r="F73" s="20">
        <f>IF(D$12=0,0,D73/D$12)</f>
        <v>-0.18914658179792992</v>
      </c>
      <c r="G73" s="13"/>
      <c r="H73" s="21">
        <f>+H22-H24+H70</f>
        <v>7250.9977380769342</v>
      </c>
      <c r="I73" s="13"/>
      <c r="J73" s="20">
        <f>IF(H$12=0,0,H73/H$12)</f>
        <v>0.25989239204576825</v>
      </c>
      <c r="K73" s="16"/>
      <c r="L73" s="21">
        <f>+D73-H73</f>
        <v>-10378.897738076939</v>
      </c>
      <c r="M73" s="16"/>
      <c r="N73" s="20">
        <f>IF(H73=0,0,L73/H73)</f>
        <v>-1.4313751173268974</v>
      </c>
      <c r="O73" s="26"/>
      <c r="P73" s="21">
        <f>+P22-P24+P70</f>
        <v>-149.51999999997497</v>
      </c>
      <c r="Q73" s="13"/>
      <c r="R73" s="20">
        <f>IF(P$12=0,0,P73/P$12)</f>
        <v>-1.9932656629058076E-3</v>
      </c>
      <c r="S73" s="13"/>
      <c r="T73" s="21">
        <f>+T22-T24+T70</f>
        <v>25307.084178557634</v>
      </c>
      <c r="U73" s="13"/>
      <c r="V73" s="20">
        <f>IF(T$12=0,0,T73/T$12)</f>
        <v>0.33608345522652899</v>
      </c>
      <c r="W73" s="16"/>
      <c r="X73" s="21">
        <f>+P73-T73</f>
        <v>-25456.604178557609</v>
      </c>
      <c r="Y73" s="16"/>
      <c r="Z73" s="20">
        <f>IF(T73=0,0,X73/T73)</f>
        <v>-1.0059082270776443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2"/>
      <c r="B75" s="10" t="s">
        <v>128</v>
      </c>
      <c r="C75" s="10"/>
      <c r="D75" s="4">
        <v>546.53</v>
      </c>
      <c r="E75" s="4"/>
      <c r="F75" s="12">
        <f>IF(D$12=0,0,D75/D$12)</f>
        <v>3.304910046677402E-2</v>
      </c>
      <c r="G75" s="4"/>
      <c r="H75" s="4">
        <v>2868</v>
      </c>
      <c r="I75" s="4"/>
      <c r="J75" s="12">
        <f>IF(H$12=0,0,H75/H$12)</f>
        <v>0.10279569892473119</v>
      </c>
      <c r="K75" s="4"/>
      <c r="L75" s="4">
        <f>+D75-H75</f>
        <v>-2321.4700000000003</v>
      </c>
      <c r="M75" s="4"/>
      <c r="N75" s="12">
        <f>IF(H75=0,0,L75/H75)</f>
        <v>-0.80943863319386344</v>
      </c>
      <c r="O75" s="10"/>
      <c r="P75" s="4">
        <v>9284.73</v>
      </c>
      <c r="Q75" s="4"/>
      <c r="R75" s="12">
        <f>IF(P$12=0,0,P75/P$12)</f>
        <v>0.12377563869953544</v>
      </c>
      <c r="S75" s="4"/>
      <c r="T75" s="4">
        <v>8177</v>
      </c>
      <c r="U75" s="4"/>
      <c r="V75" s="12">
        <f>IF(T$12=0,0,T75/T$12)</f>
        <v>0.10859229747675962</v>
      </c>
      <c r="W75" s="4"/>
      <c r="X75" s="4">
        <f>+P75-T75</f>
        <v>1107.7299999999996</v>
      </c>
      <c r="Y75" s="4"/>
      <c r="Z75" s="12">
        <f>IF(T75=0,0,X75/T75)</f>
        <v>0.13546899841017482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5" t="s">
        <v>126</v>
      </c>
      <c r="C77" s="25"/>
      <c r="D77" s="33">
        <f>+D73-D75</f>
        <v>-3674.4300000000048</v>
      </c>
      <c r="E77" s="13"/>
      <c r="F77" s="31">
        <f>IF(D$12=0,0,D77/D$12)</f>
        <v>-0.22219568226470393</v>
      </c>
      <c r="G77" s="13"/>
      <c r="H77" s="33">
        <f>+H73-H75</f>
        <v>4382.9977380769342</v>
      </c>
      <c r="I77" s="13"/>
      <c r="J77" s="31">
        <f>IF(H$12=0,0,H77/H$12)</f>
        <v>0.15709669312103708</v>
      </c>
      <c r="K77" s="16"/>
      <c r="L77" s="33">
        <f>D77-H77</f>
        <v>-8057.427738076939</v>
      </c>
      <c r="M77" s="16"/>
      <c r="N77" s="31">
        <f>IF(H77=0,0,L77/H77)</f>
        <v>-1.8383371882852448</v>
      </c>
      <c r="O77" s="26"/>
      <c r="P77" s="33">
        <f>+P73-P75</f>
        <v>-9434.2499999999745</v>
      </c>
      <c r="Q77" s="13"/>
      <c r="R77" s="31">
        <f>IF(P$12=0,0,P77/P$12)</f>
        <v>-0.12576890436244123</v>
      </c>
      <c r="S77" s="13"/>
      <c r="T77" s="33">
        <f>+T73-T75</f>
        <v>17130.084178557634</v>
      </c>
      <c r="U77" s="13"/>
      <c r="V77" s="31">
        <f>IF(T$12=0,0,T77/T$12)</f>
        <v>0.22749115774976938</v>
      </c>
      <c r="W77" s="16"/>
      <c r="X77" s="33">
        <f>P77-T77</f>
        <v>-26564.334178557609</v>
      </c>
      <c r="Y77" s="16"/>
      <c r="Z77" s="31">
        <f>IF(T77=0,0,X77/T77)</f>
        <v>-1.5507416018310742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5" t="s">
        <v>294</v>
      </c>
      <c r="C80" s="25"/>
      <c r="D80" s="35">
        <f>SUM(D77:D79)</f>
        <v>-3674.4300000000048</v>
      </c>
      <c r="E80" s="13"/>
      <c r="F80" s="34">
        <f>IF(D$12=0,0,D80/D$12)</f>
        <v>-0.22219568226470393</v>
      </c>
      <c r="G80" s="13"/>
      <c r="H80" s="35">
        <f>SUM(H77:H79)</f>
        <v>4382.9977380769342</v>
      </c>
      <c r="I80" s="13"/>
      <c r="J80" s="34">
        <f>IF(H$12=0,0,H80/H$12)</f>
        <v>0.15709669312103708</v>
      </c>
      <c r="K80" s="16"/>
      <c r="L80" s="35">
        <f>+D80-H80</f>
        <v>-8057.427738076939</v>
      </c>
      <c r="M80" s="16"/>
      <c r="N80" s="34">
        <f>IF(H80=0,0,L80/H80)</f>
        <v>-1.8383371882852448</v>
      </c>
      <c r="O80" s="26"/>
      <c r="P80" s="35">
        <f>SUM(P77:P79)</f>
        <v>-9434.2499999999745</v>
      </c>
      <c r="Q80" s="13"/>
      <c r="R80" s="34">
        <f>IF(P$12=0,0,P80/P$12)</f>
        <v>-0.12576890436244123</v>
      </c>
      <c r="S80" s="13"/>
      <c r="T80" s="35">
        <f>SUM(T77:T79)</f>
        <v>17130.084178557634</v>
      </c>
      <c r="U80" s="13"/>
      <c r="V80" s="34">
        <f>IF(T$12=0,0,T80/T$12)</f>
        <v>0.22749115774976938</v>
      </c>
      <c r="W80" s="16"/>
      <c r="X80" s="35">
        <f>+P80-T80</f>
        <v>-26564.334178557609</v>
      </c>
      <c r="Y80" s="16"/>
      <c r="Z80" s="34">
        <f>IF(T80=0,0,X80/T80)</f>
        <v>-1.5507416018310742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61">
        <v>44481.978956793981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56" t="s">
        <v>56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A84" s="9"/>
      <c r="B84" s="54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4" x14ac:dyDescent="0.25"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C000"/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219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174860.00999999998</v>
      </c>
      <c r="E12" s="4"/>
      <c r="F12" s="12"/>
      <c r="G12" s="4"/>
      <c r="H12" s="4">
        <f>SUM(OSRRefH13x_0)</f>
        <v>240245</v>
      </c>
      <c r="I12" s="4"/>
      <c r="J12" s="12"/>
      <c r="K12" s="4"/>
      <c r="L12" s="4">
        <f t="shared" ref="L12:L16" si="0">+D12-H12</f>
        <v>-65384.99000000002</v>
      </c>
      <c r="M12" s="4"/>
      <c r="N12" s="12">
        <f t="shared" ref="N12:N16" si="1">IF(H12=0,0,L12/H12)</f>
        <v>-0.27215962871235622</v>
      </c>
      <c r="O12" s="10"/>
      <c r="P12" s="4">
        <f>SUM(OSRRefP13x_0)</f>
        <v>613539.87999999989</v>
      </c>
      <c r="Q12" s="4"/>
      <c r="R12" s="12"/>
      <c r="S12" s="4"/>
      <c r="T12" s="4">
        <f>SUM(OSRRefT13x_0)</f>
        <v>894135</v>
      </c>
      <c r="U12" s="4"/>
      <c r="V12" s="12"/>
      <c r="W12" s="4"/>
      <c r="X12" s="4">
        <f t="shared" ref="X12:X16" si="2">+P12-T12</f>
        <v>-280595.12000000011</v>
      </c>
      <c r="Y12" s="4"/>
      <c r="Z12" s="12">
        <f t="shared" ref="Z12:Z16" si="3">IF(T12=0,0,X12/T12)</f>
        <v>-0.31381739893863914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--115763.59</f>
        <v>115763.59</v>
      </c>
      <c r="E13" s="2"/>
      <c r="F13" s="19"/>
      <c r="G13" s="2"/>
      <c r="H13" s="2">
        <v>226713</v>
      </c>
      <c r="I13" s="2"/>
      <c r="J13" s="19"/>
      <c r="K13" s="2"/>
      <c r="L13" s="2">
        <f t="shared" si="0"/>
        <v>-110949.41</v>
      </c>
      <c r="M13" s="2"/>
      <c r="N13" s="19">
        <f t="shared" si="1"/>
        <v>-0.48938265560422212</v>
      </c>
      <c r="O13" s="11"/>
      <c r="P13" s="2">
        <f>--497929.32</f>
        <v>497929.32</v>
      </c>
      <c r="Q13" s="2"/>
      <c r="R13" s="19"/>
      <c r="S13" s="2"/>
      <c r="T13" s="2">
        <v>850984</v>
      </c>
      <c r="U13" s="2"/>
      <c r="V13" s="19"/>
      <c r="W13" s="2"/>
      <c r="X13" s="2">
        <f t="shared" si="2"/>
        <v>-353054.68</v>
      </c>
      <c r="Y13" s="2"/>
      <c r="Z13" s="19">
        <f t="shared" si="3"/>
        <v>-0.41487816457183685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--79696.64</f>
        <v>79696.639999999999</v>
      </c>
      <c r="E14" s="2"/>
      <c r="F14" s="19"/>
      <c r="G14" s="2"/>
      <c r="H14" s="2">
        <v>13532</v>
      </c>
      <c r="I14" s="2"/>
      <c r="J14" s="19"/>
      <c r="K14" s="2"/>
      <c r="L14" s="2">
        <f t="shared" si="0"/>
        <v>66164.639999999999</v>
      </c>
      <c r="M14" s="2"/>
      <c r="N14" s="19">
        <f t="shared" si="1"/>
        <v>4.8894945314809339</v>
      </c>
      <c r="O14" s="11"/>
      <c r="P14" s="2">
        <f>--196474.52</f>
        <v>196474.52</v>
      </c>
      <c r="Q14" s="2"/>
      <c r="R14" s="19"/>
      <c r="S14" s="2"/>
      <c r="T14" s="2">
        <v>43151</v>
      </c>
      <c r="U14" s="2"/>
      <c r="V14" s="19"/>
      <c r="W14" s="2"/>
      <c r="X14" s="2">
        <f t="shared" si="2"/>
        <v>153323.51999999999</v>
      </c>
      <c r="Y14" s="2"/>
      <c r="Z14" s="19">
        <f t="shared" si="3"/>
        <v>3.5531857894370926</v>
      </c>
    </row>
    <row r="15" spans="1:26" s="24" customFormat="1" hidden="1" outlineLevel="1" x14ac:dyDescent="0.25">
      <c r="A15" s="44"/>
      <c r="B15" s="11" t="str">
        <f>CONCATENATE("          ", "4200", " - ", "TAXABLE RETURNS")</f>
        <v xml:space="preserve">          4200 - TAXABLE RETURNS</v>
      </c>
      <c r="C15" s="11"/>
      <c r="D15" s="2">
        <f>-20557.25</f>
        <v>-20557.25</v>
      </c>
      <c r="E15" s="2"/>
      <c r="F15" s="19"/>
      <c r="G15" s="2"/>
      <c r="H15" s="2"/>
      <c r="I15" s="2"/>
      <c r="J15" s="19"/>
      <c r="K15" s="2"/>
      <c r="L15" s="2">
        <f t="shared" si="0"/>
        <v>-20557.25</v>
      </c>
      <c r="M15" s="2"/>
      <c r="N15" s="19">
        <f t="shared" si="1"/>
        <v>0</v>
      </c>
      <c r="O15" s="11"/>
      <c r="P15" s="2">
        <f>-80174.16</f>
        <v>-80174.16</v>
      </c>
      <c r="Q15" s="2"/>
      <c r="R15" s="19"/>
      <c r="S15" s="2"/>
      <c r="T15" s="2"/>
      <c r="U15" s="2"/>
      <c r="V15" s="19"/>
      <c r="W15" s="2"/>
      <c r="X15" s="2">
        <f t="shared" si="2"/>
        <v>-80174.16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"4300", " - ", "NON-TAX RETURNS")</f>
        <v xml:space="preserve">          4300 - NON-TAX RETURNS</v>
      </c>
      <c r="C16" s="11"/>
      <c r="D16" s="2">
        <f>-42.97</f>
        <v>-42.97</v>
      </c>
      <c r="E16" s="2"/>
      <c r="F16" s="19"/>
      <c r="G16" s="2"/>
      <c r="H16" s="2"/>
      <c r="I16" s="2"/>
      <c r="J16" s="19"/>
      <c r="K16" s="2"/>
      <c r="L16" s="2">
        <f t="shared" si="0"/>
        <v>-42.97</v>
      </c>
      <c r="M16" s="2"/>
      <c r="N16" s="19">
        <f t="shared" si="1"/>
        <v>0</v>
      </c>
      <c r="O16" s="11"/>
      <c r="P16" s="2">
        <f>-689.8</f>
        <v>-689.8</v>
      </c>
      <c r="Q16" s="2"/>
      <c r="R16" s="19"/>
      <c r="S16" s="2"/>
      <c r="T16" s="2"/>
      <c r="U16" s="2"/>
      <c r="V16" s="19"/>
      <c r="W16" s="2"/>
      <c r="X16" s="2">
        <f t="shared" si="2"/>
        <v>-689.8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257</v>
      </c>
      <c r="C18" s="10"/>
      <c r="D18" s="4">
        <f>SUM(OSRRefD16x_0)</f>
        <v>117257.95000000001</v>
      </c>
      <c r="E18" s="4"/>
      <c r="F18" s="12">
        <f t="shared" ref="F18:F28" si="4">IF(D$12=0,0,D18/D$12)</f>
        <v>0.6705818557370552</v>
      </c>
      <c r="G18" s="4"/>
      <c r="H18" s="4">
        <f>SUM(OSRRefH16x_0)</f>
        <v>215019</v>
      </c>
      <c r="I18" s="4"/>
      <c r="J18" s="12">
        <f t="shared" ref="J18:J28" si="5">IF(H$12=0,0,H18/H$12)</f>
        <v>0.89499885533517864</v>
      </c>
      <c r="K18" s="4"/>
      <c r="L18" s="4">
        <f t="shared" ref="L18:L28" si="6">+D18-H18</f>
        <v>-97761.049999999988</v>
      </c>
      <c r="M18" s="4"/>
      <c r="N18" s="12">
        <f t="shared" ref="N18:N28" si="7">IF(H18=0,0,L18/H18)</f>
        <v>-0.4546623786735125</v>
      </c>
      <c r="O18" s="10"/>
      <c r="P18" s="4">
        <f>SUM(OSRRefP16x_0)</f>
        <v>491422.55000000005</v>
      </c>
      <c r="Q18" s="4"/>
      <c r="R18" s="12">
        <f t="shared" ref="R18:R28" si="8">IF(P$12=0,0,P18/P$12)</f>
        <v>0.80096268558777328</v>
      </c>
      <c r="S18" s="4"/>
      <c r="T18" s="4">
        <f>SUM(OSRRefT16x_0)</f>
        <v>800250</v>
      </c>
      <c r="U18" s="4"/>
      <c r="V18" s="12">
        <f t="shared" ref="V18:V28" si="9">IF(T$12=0,0,T18/T$12)</f>
        <v>0.89499907732053885</v>
      </c>
      <c r="W18" s="4"/>
      <c r="X18" s="4">
        <f t="shared" ref="X18:X28" si="10">+P18-T18</f>
        <v>-308827.44999999995</v>
      </c>
      <c r="Y18" s="4"/>
      <c r="Z18" s="12">
        <f t="shared" ref="Z18:Z28" si="11">IF(T18=0,0,X18/T18)</f>
        <v>-0.3859137144642299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169066.36</v>
      </c>
      <c r="E19" s="2"/>
      <c r="F19" s="19">
        <f t="shared" si="4"/>
        <v>0.96686692400395036</v>
      </c>
      <c r="G19" s="2"/>
      <c r="H19" s="2">
        <v>215019</v>
      </c>
      <c r="I19" s="2"/>
      <c r="J19" s="19">
        <f t="shared" si="5"/>
        <v>0.89499885533517864</v>
      </c>
      <c r="K19" s="2"/>
      <c r="L19" s="2">
        <f t="shared" si="6"/>
        <v>-45952.640000000014</v>
      </c>
      <c r="M19" s="2"/>
      <c r="N19" s="19">
        <f t="shared" si="7"/>
        <v>-0.21371432292030013</v>
      </c>
      <c r="O19" s="11"/>
      <c r="P19" s="2">
        <v>552202.23</v>
      </c>
      <c r="Q19" s="2"/>
      <c r="R19" s="19">
        <f t="shared" si="8"/>
        <v>0.90002662907584763</v>
      </c>
      <c r="S19" s="2"/>
      <c r="T19" s="2">
        <v>800250</v>
      </c>
      <c r="U19" s="2"/>
      <c r="V19" s="19">
        <f t="shared" si="9"/>
        <v>0.89499907732053885</v>
      </c>
      <c r="W19" s="2"/>
      <c r="X19" s="2">
        <f t="shared" si="10"/>
        <v>-248047.77000000002</v>
      </c>
      <c r="Y19" s="2"/>
      <c r="Z19" s="19">
        <f t="shared" si="11"/>
        <v>-0.30996284910965327</v>
      </c>
    </row>
    <row r="20" spans="1:26" s="24" customFormat="1" hidden="1" outlineLevel="1" x14ac:dyDescent="0.25">
      <c r="A20" s="44"/>
      <c r="B20" s="11" t="str">
        <f>CONCATENATE("          ", "5081", " - ", "PURCHASES @ COST-ELECTRONICS")</f>
        <v xml:space="preserve">          5081 - PURCHASES @ COST-ELECTRONICS</v>
      </c>
      <c r="C20" s="11"/>
      <c r="D20" s="2">
        <v>0</v>
      </c>
      <c r="E20" s="2"/>
      <c r="F20" s="19">
        <f t="shared" si="4"/>
        <v>0</v>
      </c>
      <c r="G20" s="2"/>
      <c r="H20" s="2"/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>
        <v>0</v>
      </c>
      <c r="Q20" s="2"/>
      <c r="R20" s="19">
        <f t="shared" si="8"/>
        <v>0</v>
      </c>
      <c r="S20" s="2"/>
      <c r="T20" s="2"/>
      <c r="U20" s="2"/>
      <c r="V20" s="19">
        <f t="shared" si="9"/>
        <v>0</v>
      </c>
      <c r="W20" s="2"/>
      <c r="X20" s="2">
        <f t="shared" si="10"/>
        <v>0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"5082", " - ", "PURCHASES @ COST-COMPUTER HARD")</f>
        <v xml:space="preserve">          5082 - PURCHASES @ COST-COMPUTER HARD</v>
      </c>
      <c r="C21" s="11"/>
      <c r="D21" s="2">
        <v>-22380.03</v>
      </c>
      <c r="E21" s="2"/>
      <c r="F21" s="19">
        <f t="shared" si="4"/>
        <v>-0.12798826901588306</v>
      </c>
      <c r="G21" s="2"/>
      <c r="H21" s="2"/>
      <c r="I21" s="2"/>
      <c r="J21" s="19">
        <f t="shared" si="5"/>
        <v>0</v>
      </c>
      <c r="K21" s="2"/>
      <c r="L21" s="2">
        <f t="shared" si="6"/>
        <v>-22380.03</v>
      </c>
      <c r="M21" s="2"/>
      <c r="N21" s="19">
        <f t="shared" si="7"/>
        <v>0</v>
      </c>
      <c r="O21" s="11"/>
      <c r="P21" s="2">
        <v>-56783.85</v>
      </c>
      <c r="Q21" s="2"/>
      <c r="R21" s="19">
        <f t="shared" si="8"/>
        <v>-9.2551196509019121E-2</v>
      </c>
      <c r="S21" s="2"/>
      <c r="T21" s="2"/>
      <c r="U21" s="2"/>
      <c r="V21" s="19">
        <f t="shared" si="9"/>
        <v>0</v>
      </c>
      <c r="W21" s="2"/>
      <c r="X21" s="2">
        <f t="shared" si="10"/>
        <v>-56783.85</v>
      </c>
      <c r="Y21" s="2"/>
      <c r="Z21" s="19">
        <f t="shared" si="11"/>
        <v>0</v>
      </c>
    </row>
    <row r="22" spans="1:26" s="24" customFormat="1" hidden="1" outlineLevel="1" x14ac:dyDescent="0.25">
      <c r="A22" s="44"/>
      <c r="B22" s="11" t="str">
        <f>CONCATENATE("          ", "5083", " - ", "PURCHASES @ COST-COMPUTER EQUI")</f>
        <v xml:space="preserve">          5083 - PURCHASES @ COST-COMPUTER EQUI</v>
      </c>
      <c r="C22" s="11"/>
      <c r="D22" s="2">
        <v>0</v>
      </c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"5085", " - ", "PURCHASES @ COST-SOFTWARE")</f>
        <v xml:space="preserve">          5085 - PURCHASES @ COST-SOFTWARE</v>
      </c>
      <c r="C23" s="11"/>
      <c r="D23" s="2">
        <v>0</v>
      </c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25">
      <c r="A24" s="44"/>
      <c r="B24" s="11" t="str">
        <f>CONCATENATE("          ", "5086", " - ", "PURCHASES @ COST-COMPUTER SUPP")</f>
        <v xml:space="preserve">          5086 - PURCHASES @ COST-COMPUTER SUPP</v>
      </c>
      <c r="C24" s="11"/>
      <c r="D24" s="2">
        <v>0</v>
      </c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25">
      <c r="A25" s="44"/>
      <c r="B25" s="11" t="str">
        <f>CONCATENATE("          ", "5200", " - ", "PURCHASES OFFSET")</f>
        <v xml:space="preserve">          5200 - PURCHASES OFFSET</v>
      </c>
      <c r="C25" s="11"/>
      <c r="D25" s="2">
        <v>-169066.36</v>
      </c>
      <c r="E25" s="2"/>
      <c r="F25" s="19">
        <f t="shared" si="4"/>
        <v>-0.96686692400395036</v>
      </c>
      <c r="G25" s="2"/>
      <c r="H25" s="2"/>
      <c r="I25" s="2"/>
      <c r="J25" s="19">
        <f t="shared" si="5"/>
        <v>0</v>
      </c>
      <c r="K25" s="2"/>
      <c r="L25" s="2">
        <f t="shared" si="6"/>
        <v>-169066.36</v>
      </c>
      <c r="M25" s="2"/>
      <c r="N25" s="19">
        <f t="shared" si="7"/>
        <v>0</v>
      </c>
      <c r="O25" s="11"/>
      <c r="P25" s="2">
        <v>-552237.88</v>
      </c>
      <c r="Q25" s="2"/>
      <c r="R25" s="19">
        <f t="shared" si="8"/>
        <v>-0.9000847345082118</v>
      </c>
      <c r="S25" s="2"/>
      <c r="T25" s="2"/>
      <c r="U25" s="2"/>
      <c r="V25" s="19">
        <f t="shared" si="9"/>
        <v>0</v>
      </c>
      <c r="W25" s="2"/>
      <c r="X25" s="2">
        <f t="shared" si="10"/>
        <v>-552237.88</v>
      </c>
      <c r="Y25" s="2"/>
      <c r="Z25" s="19">
        <f t="shared" si="11"/>
        <v>0</v>
      </c>
    </row>
    <row r="26" spans="1:26" s="24" customFormat="1" hidden="1" outlineLevel="1" x14ac:dyDescent="0.25">
      <c r="A26" s="44"/>
      <c r="B26" s="11" t="str">
        <f>CONCATENATE("          ", "5300", " - ", "COG$ OFFSET")</f>
        <v xml:space="preserve">          5300 - COG$ OFFSET</v>
      </c>
      <c r="C26" s="11"/>
      <c r="D26" s="2">
        <v>139637.98000000001</v>
      </c>
      <c r="E26" s="2"/>
      <c r="F26" s="19">
        <f t="shared" si="4"/>
        <v>0.7985701247529382</v>
      </c>
      <c r="G26" s="2"/>
      <c r="H26" s="2"/>
      <c r="I26" s="2"/>
      <c r="J26" s="19">
        <f t="shared" si="5"/>
        <v>0</v>
      </c>
      <c r="K26" s="2"/>
      <c r="L26" s="2">
        <f t="shared" si="6"/>
        <v>139637.98000000001</v>
      </c>
      <c r="M26" s="2"/>
      <c r="N26" s="19">
        <f t="shared" si="7"/>
        <v>0</v>
      </c>
      <c r="O26" s="11"/>
      <c r="P26" s="2">
        <v>548206.4</v>
      </c>
      <c r="Q26" s="2"/>
      <c r="R26" s="19">
        <f t="shared" si="8"/>
        <v>0.89351388209679239</v>
      </c>
      <c r="S26" s="2"/>
      <c r="T26" s="2"/>
      <c r="U26" s="2"/>
      <c r="V26" s="19">
        <f t="shared" si="9"/>
        <v>0</v>
      </c>
      <c r="W26" s="2"/>
      <c r="X26" s="2">
        <f t="shared" si="10"/>
        <v>548206.4</v>
      </c>
      <c r="Y26" s="2"/>
      <c r="Z26" s="19">
        <f t="shared" si="11"/>
        <v>0</v>
      </c>
    </row>
    <row r="27" spans="1:26" s="24" customFormat="1" hidden="1" outlineLevel="1" x14ac:dyDescent="0.25">
      <c r="A27" s="44"/>
      <c r="B27" s="11" t="str">
        <f>CONCATENATE("          ", "5500", " - ", "FREIGHT-IN")</f>
        <v xml:space="preserve">          5500 - FREIGHT-IN</v>
      </c>
      <c r="C27" s="11"/>
      <c r="D27" s="2"/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35.65</v>
      </c>
      <c r="Q27" s="2"/>
      <c r="R27" s="19">
        <f t="shared" si="8"/>
        <v>5.8105432364070619E-5</v>
      </c>
      <c r="S27" s="2"/>
      <c r="T27" s="2"/>
      <c r="U27" s="2"/>
      <c r="V27" s="19">
        <f t="shared" si="9"/>
        <v>0</v>
      </c>
      <c r="W27" s="2"/>
      <c r="X27" s="2">
        <f t="shared" si="10"/>
        <v>35.65</v>
      </c>
      <c r="Y27" s="2"/>
      <c r="Z27" s="19">
        <f t="shared" si="11"/>
        <v>0</v>
      </c>
    </row>
    <row r="28" spans="1:26" s="24" customFormat="1" hidden="1" outlineLevel="1" x14ac:dyDescent="0.25">
      <c r="A28" s="44"/>
      <c r="B28" s="11" t="str">
        <f>CONCATENATE("          ", "5583", " - ", "FREIGHT-IN-COMPUTER EQUIPMENT")</f>
        <v xml:space="preserve">          5583 - FREIGHT-IN-COMPUTER EQUIPMENT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5" t="s">
        <v>108</v>
      </c>
      <c r="C30" s="25"/>
      <c r="D30" s="21">
        <f>D12-D18</f>
        <v>57602.059999999969</v>
      </c>
      <c r="E30" s="13"/>
      <c r="F30" s="20">
        <f>IF(D$12=0,0,D30/D$12)</f>
        <v>0.3294181442629448</v>
      </c>
      <c r="G30" s="13"/>
      <c r="H30" s="21">
        <f>H12-H18</f>
        <v>25226</v>
      </c>
      <c r="I30" s="13"/>
      <c r="J30" s="20">
        <f>IF(H$12=0,0,H30/H$12)</f>
        <v>0.10500114466482133</v>
      </c>
      <c r="K30" s="16"/>
      <c r="L30" s="21">
        <f>+D30-H30</f>
        <v>32376.059999999969</v>
      </c>
      <c r="M30" s="16"/>
      <c r="N30" s="20">
        <f>IF(H30=0,0,L30/H30)</f>
        <v>1.283440101482596</v>
      </c>
      <c r="O30" s="26"/>
      <c r="P30" s="21">
        <f>P12-P18</f>
        <v>122117.32999999984</v>
      </c>
      <c r="Q30" s="13"/>
      <c r="R30" s="20">
        <f>IF(P$12=0,0,P30/P$12)</f>
        <v>0.19903731441222675</v>
      </c>
      <c r="S30" s="13"/>
      <c r="T30" s="21">
        <f>T12-T18</f>
        <v>93885</v>
      </c>
      <c r="U30" s="13"/>
      <c r="V30" s="20">
        <f>IF(T$12=0,0,T30/T$12)</f>
        <v>0.10500092267946115</v>
      </c>
      <c r="W30" s="16"/>
      <c r="X30" s="21">
        <f>+P30-T30</f>
        <v>28232.329999999842</v>
      </c>
      <c r="Y30" s="16"/>
      <c r="Z30" s="20">
        <f>IF(T30=0,0,X30/T30)</f>
        <v>0.3007118283005788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6" t="s">
        <v>295</v>
      </c>
      <c r="C32" s="10"/>
      <c r="D32" s="22">
        <f>SUM(OSRRefD22x_0)</f>
        <v>12211.060000000001</v>
      </c>
      <c r="E32" s="22"/>
      <c r="F32" s="32">
        <f t="shared" ref="F32:F43" si="12">IF(D$12=0,0,D32/D$12)</f>
        <v>6.9833348402530707E-2</v>
      </c>
      <c r="G32" s="22"/>
      <c r="H32" s="22">
        <f>SUM(OSRRefH22x_0)</f>
        <v>15628.74798487</v>
      </c>
      <c r="I32" s="22"/>
      <c r="J32" s="32">
        <f t="shared" ref="J32:J43" si="13">IF(H$12=0,0,H32/H$12)</f>
        <v>6.505337461703678E-2</v>
      </c>
      <c r="K32" s="4"/>
      <c r="L32" s="22">
        <f t="shared" ref="L32:L43" si="14">+D32-H32</f>
        <v>-3417.6879848699991</v>
      </c>
      <c r="M32" s="4"/>
      <c r="N32" s="32">
        <f t="shared" ref="N32:N43" si="15">IF(H32=0,0,L32/H32)</f>
        <v>-0.2186795761361448</v>
      </c>
      <c r="O32" s="10"/>
      <c r="P32" s="22">
        <f>SUM(OSRRefP22x_0)</f>
        <v>43136.049999999996</v>
      </c>
      <c r="Q32" s="22"/>
      <c r="R32" s="32">
        <f t="shared" ref="R32:R43" si="16">IF(P$12=0,0,P32/P$12)</f>
        <v>7.0306839711870087E-2</v>
      </c>
      <c r="S32" s="22"/>
      <c r="T32" s="22">
        <f>SUM(OSRRefT22x_0)</f>
        <v>50267.7113308275</v>
      </c>
      <c r="U32" s="22"/>
      <c r="V32" s="32">
        <f t="shared" ref="V32:V43" si="17">IF(T$12=0,0,T32/T$12)</f>
        <v>5.6219375520282173E-2</v>
      </c>
      <c r="W32" s="4"/>
      <c r="X32" s="22">
        <f t="shared" ref="X32:X43" si="18">+P32-T32</f>
        <v>-7131.6613308275046</v>
      </c>
      <c r="Y32" s="4"/>
      <c r="Z32" s="32">
        <f t="shared" ref="Z32:Z43" si="19">IF(T32=0,0,X32/T32)</f>
        <v>-0.14187360319414216</v>
      </c>
    </row>
    <row r="33" spans="1:26" s="28" customFormat="1" outlineLevel="1" collapsed="1" x14ac:dyDescent="0.25">
      <c r="A33" s="27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SUM(OSRRefD22_0x_0)</f>
        <v>1500.14</v>
      </c>
      <c r="E33" s="1"/>
      <c r="F33" s="5">
        <f t="shared" si="12"/>
        <v>8.5790913542782045E-3</v>
      </c>
      <c r="G33" s="1"/>
      <c r="H33" s="1">
        <f>SUM(OSRRefH22_0x_0)</f>
        <v>2603.1974348700001</v>
      </c>
      <c r="I33" s="1"/>
      <c r="J33" s="5">
        <f t="shared" si="13"/>
        <v>1.0835594642427521E-2</v>
      </c>
      <c r="K33" s="1"/>
      <c r="L33" s="1">
        <f t="shared" si="14"/>
        <v>-1103.05743487</v>
      </c>
      <c r="M33" s="1"/>
      <c r="N33" s="5">
        <f t="shared" si="15"/>
        <v>-0.4237317615999745</v>
      </c>
      <c r="O33" s="14"/>
      <c r="P33" s="1">
        <f>SUM(OSRRefP22_0x_0)</f>
        <v>4659.37</v>
      </c>
      <c r="Q33" s="1"/>
      <c r="R33" s="5">
        <f t="shared" si="16"/>
        <v>7.5942414696824612E-3</v>
      </c>
      <c r="S33" s="1"/>
      <c r="T33" s="1">
        <f>SUM(OSRRefT22_0x_0)</f>
        <v>9001.6720433274986</v>
      </c>
      <c r="U33" s="1"/>
      <c r="V33" s="5">
        <f t="shared" si="17"/>
        <v>1.0067464133858421E-2</v>
      </c>
      <c r="W33" s="1"/>
      <c r="X33" s="1">
        <f t="shared" si="18"/>
        <v>-4342.3020433274987</v>
      </c>
      <c r="Y33" s="1"/>
      <c r="Z33" s="5">
        <f t="shared" si="19"/>
        <v>-0.48238838544959389</v>
      </c>
    </row>
    <row r="34" spans="1:26" s="24" customFormat="1" hidden="1" outlineLevel="2" x14ac:dyDescent="0.25">
      <c r="A34" s="29"/>
      <c r="B34" s="11" t="str">
        <f>CONCATENATE("          ", "6111", " - ", "F.I.C.A.")</f>
        <v xml:space="preserve">          6111 - F.I.C.A.</v>
      </c>
      <c r="C34" s="11"/>
      <c r="D34" s="7">
        <v>548.86</v>
      </c>
      <c r="E34" s="2"/>
      <c r="F34" s="6">
        <f t="shared" si="12"/>
        <v>3.1388537607884162E-3</v>
      </c>
      <c r="G34" s="2"/>
      <c r="H34" s="7">
        <v>457.37151956999998</v>
      </c>
      <c r="I34" s="2"/>
      <c r="J34" s="6">
        <f t="shared" si="13"/>
        <v>1.9037712317425961E-3</v>
      </c>
      <c r="K34" s="2"/>
      <c r="L34" s="7">
        <f t="shared" si="14"/>
        <v>91.488480430000038</v>
      </c>
      <c r="M34" s="2"/>
      <c r="N34" s="6">
        <f t="shared" si="15"/>
        <v>0.20003099562476775</v>
      </c>
      <c r="O34" s="11"/>
      <c r="P34" s="7">
        <v>1609.1</v>
      </c>
      <c r="Q34" s="2"/>
      <c r="R34" s="6">
        <f t="shared" si="16"/>
        <v>2.6226494030021329E-3</v>
      </c>
      <c r="S34" s="2"/>
      <c r="T34" s="7">
        <v>2265.2267186025001</v>
      </c>
      <c r="U34" s="2"/>
      <c r="V34" s="6">
        <f t="shared" si="17"/>
        <v>2.5334280825630357E-3</v>
      </c>
      <c r="W34" s="2"/>
      <c r="X34" s="7">
        <f t="shared" si="18"/>
        <v>-656.1267186025002</v>
      </c>
      <c r="Y34" s="2"/>
      <c r="Z34" s="6">
        <f t="shared" si="19"/>
        <v>-0.28965167734172248</v>
      </c>
    </row>
    <row r="35" spans="1:26" s="24" customFormat="1" hidden="1" outlineLevel="2" x14ac:dyDescent="0.25">
      <c r="A35" s="29"/>
      <c r="B35" s="11" t="str">
        <f>CONCATENATE("          ", "6112", " - ", "COMPENSATION INSURANCE")</f>
        <v xml:space="preserve">          6112 - COMPENSATION INSURANCE</v>
      </c>
      <c r="C35" s="11"/>
      <c r="D35" s="7">
        <v>135.76</v>
      </c>
      <c r="E35" s="2"/>
      <c r="F35" s="6">
        <f t="shared" si="12"/>
        <v>7.7639249820470675E-4</v>
      </c>
      <c r="G35" s="2"/>
      <c r="H35" s="7">
        <v>173.5401564</v>
      </c>
      <c r="I35" s="2"/>
      <c r="J35" s="6">
        <f t="shared" si="13"/>
        <v>7.2234658952319503E-4</v>
      </c>
      <c r="K35" s="2"/>
      <c r="L35" s="7">
        <f t="shared" si="14"/>
        <v>-37.78015640000001</v>
      </c>
      <c r="M35" s="2"/>
      <c r="N35" s="6">
        <f t="shared" si="15"/>
        <v>-0.21770267575948785</v>
      </c>
      <c r="O35" s="11"/>
      <c r="P35" s="7">
        <v>425.95</v>
      </c>
      <c r="Q35" s="2"/>
      <c r="R35" s="6">
        <f t="shared" si="16"/>
        <v>6.9424989945233886E-4</v>
      </c>
      <c r="S35" s="2"/>
      <c r="T35" s="7">
        <v>542.05630829999996</v>
      </c>
      <c r="U35" s="2"/>
      <c r="V35" s="6">
        <f t="shared" si="17"/>
        <v>6.0623542116123403E-4</v>
      </c>
      <c r="W35" s="2"/>
      <c r="X35" s="7">
        <f t="shared" si="18"/>
        <v>-116.10630829999997</v>
      </c>
      <c r="Y35" s="2"/>
      <c r="Z35" s="6">
        <f t="shared" si="19"/>
        <v>-0.21419602820255559</v>
      </c>
    </row>
    <row r="36" spans="1:26" s="24" customFormat="1" hidden="1" outlineLevel="2" x14ac:dyDescent="0.25">
      <c r="A36" s="29"/>
      <c r="B36" s="11" t="str">
        <f>CONCATENATE("          ", "6113", " - ", "GROUP INSURANCE")</f>
        <v xml:space="preserve">          6113 - GROUP INSURANCE</v>
      </c>
      <c r="C36" s="11"/>
      <c r="D36" s="7">
        <v>194.97</v>
      </c>
      <c r="E36" s="2"/>
      <c r="F36" s="6">
        <f t="shared" si="12"/>
        <v>1.1150062269812294E-3</v>
      </c>
      <c r="G36" s="2"/>
      <c r="H36" s="7">
        <v>943.5</v>
      </c>
      <c r="I36" s="2"/>
      <c r="J36" s="6">
        <f t="shared" si="13"/>
        <v>3.9272409415388454E-3</v>
      </c>
      <c r="K36" s="2"/>
      <c r="L36" s="7">
        <f t="shared" si="14"/>
        <v>-748.53</v>
      </c>
      <c r="M36" s="2"/>
      <c r="N36" s="6">
        <f t="shared" si="15"/>
        <v>-0.79335453100158981</v>
      </c>
      <c r="O36" s="11"/>
      <c r="P36" s="7">
        <v>1188.8900000000001</v>
      </c>
      <c r="Q36" s="2"/>
      <c r="R36" s="6">
        <f t="shared" si="16"/>
        <v>1.9377550486204748E-3</v>
      </c>
      <c r="S36" s="2"/>
      <c r="T36" s="7">
        <v>2983.5</v>
      </c>
      <c r="U36" s="2"/>
      <c r="V36" s="6">
        <f t="shared" si="17"/>
        <v>3.3367444513412404E-3</v>
      </c>
      <c r="W36" s="2"/>
      <c r="X36" s="7">
        <f t="shared" si="18"/>
        <v>-1794.61</v>
      </c>
      <c r="Y36" s="2"/>
      <c r="Z36" s="6">
        <f t="shared" si="19"/>
        <v>-0.60151164739400032</v>
      </c>
    </row>
    <row r="37" spans="1:26" s="24" customFormat="1" hidden="1" outlineLevel="2" x14ac:dyDescent="0.25">
      <c r="A37" s="29"/>
      <c r="B37" s="11" t="str">
        <f>CONCATENATE("          ", "6114", " - ", "STATE UNEMPLOYMENT INSURANCE")</f>
        <v xml:space="preserve">          6114 - STATE UNEMPLOYMENT INSURANCE</v>
      </c>
      <c r="C37" s="11"/>
      <c r="D37" s="7">
        <v>23.85</v>
      </c>
      <c r="E37" s="2"/>
      <c r="F37" s="6">
        <f t="shared" si="12"/>
        <v>1.3639482234960415E-4</v>
      </c>
      <c r="G37" s="2"/>
      <c r="H37" s="7">
        <v>23.361174900000002</v>
      </c>
      <c r="I37" s="2"/>
      <c r="J37" s="6">
        <f t="shared" si="13"/>
        <v>9.7238963974276263E-5</v>
      </c>
      <c r="K37" s="2"/>
      <c r="L37" s="7">
        <f t="shared" si="14"/>
        <v>0.48882509999999968</v>
      </c>
      <c r="M37" s="2"/>
      <c r="N37" s="6">
        <f t="shared" si="15"/>
        <v>2.0924679605904568E-2</v>
      </c>
      <c r="O37" s="11"/>
      <c r="P37" s="7">
        <v>74.83</v>
      </c>
      <c r="Q37" s="2"/>
      <c r="R37" s="6">
        <f t="shared" si="16"/>
        <v>1.2196436195801976E-4</v>
      </c>
      <c r="S37" s="2"/>
      <c r="T37" s="7">
        <v>72.969118425000005</v>
      </c>
      <c r="U37" s="2"/>
      <c r="V37" s="6">
        <f t="shared" si="17"/>
        <v>8.16086143870892E-5</v>
      </c>
      <c r="W37" s="2"/>
      <c r="X37" s="7">
        <f t="shared" si="18"/>
        <v>1.8608815749999934</v>
      </c>
      <c r="Y37" s="2"/>
      <c r="Z37" s="6">
        <f t="shared" si="19"/>
        <v>2.5502316804233656E-2</v>
      </c>
    </row>
    <row r="38" spans="1:26" s="24" customFormat="1" hidden="1" outlineLevel="2" x14ac:dyDescent="0.25">
      <c r="A38" s="29"/>
      <c r="B38" s="11" t="str">
        <f>CONCATENATE("          ", "6115", " - ", "P.E.R.S.")</f>
        <v xml:space="preserve">          6115 - P.E.R.S.</v>
      </c>
      <c r="C38" s="11"/>
      <c r="D38" s="7">
        <v>99.25</v>
      </c>
      <c r="E38" s="2"/>
      <c r="F38" s="6">
        <f t="shared" si="12"/>
        <v>5.6759690223053298E-4</v>
      </c>
      <c r="G38" s="2"/>
      <c r="H38" s="7">
        <v>202.166134</v>
      </c>
      <c r="I38" s="2"/>
      <c r="J38" s="6">
        <f t="shared" si="13"/>
        <v>8.4149986055901272E-4</v>
      </c>
      <c r="K38" s="2"/>
      <c r="L38" s="7">
        <f t="shared" si="14"/>
        <v>-102.916134</v>
      </c>
      <c r="M38" s="2"/>
      <c r="N38" s="6">
        <f t="shared" si="15"/>
        <v>-0.50906713188668884</v>
      </c>
      <c r="O38" s="11"/>
      <c r="P38" s="7">
        <v>332.4</v>
      </c>
      <c r="Q38" s="2"/>
      <c r="R38" s="6">
        <f t="shared" si="16"/>
        <v>5.4177407343105396E-4</v>
      </c>
      <c r="S38" s="2"/>
      <c r="T38" s="7">
        <v>657.03993549999996</v>
      </c>
      <c r="U38" s="2"/>
      <c r="V38" s="6">
        <f t="shared" si="17"/>
        <v>7.348330347207077E-4</v>
      </c>
      <c r="W38" s="2"/>
      <c r="X38" s="7">
        <f t="shared" si="18"/>
        <v>-324.63993549999998</v>
      </c>
      <c r="Y38" s="2"/>
      <c r="Z38" s="6">
        <f t="shared" si="19"/>
        <v>-0.49409467820696873</v>
      </c>
    </row>
    <row r="39" spans="1:26" s="24" customFormat="1" hidden="1" outlineLevel="2" x14ac:dyDescent="0.25">
      <c r="A39" s="29"/>
      <c r="B39" s="11" t="str">
        <f>CONCATENATE("          ", "6116", " - ", "EDUCATIONAL BENEFITS")</f>
        <v xml:space="preserve">          6116 - EDUCATIONAL BENEFITS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9"/>
      <c r="B40" s="11" t="str">
        <f>CONCATENATE("          ", "6117", " - ", "RETIREMENT STAFF HOURLY")</f>
        <v xml:space="preserve">          6117 - RETIREMENT STAFF HOURLY</v>
      </c>
      <c r="C40" s="11"/>
      <c r="D40" s="7">
        <v>60</v>
      </c>
      <c r="E40" s="2"/>
      <c r="F40" s="6">
        <f t="shared" si="12"/>
        <v>3.4313162855246322E-4</v>
      </c>
      <c r="G40" s="2"/>
      <c r="H40" s="7"/>
      <c r="I40" s="2"/>
      <c r="J40" s="6">
        <f t="shared" si="13"/>
        <v>0</v>
      </c>
      <c r="K40" s="2"/>
      <c r="L40" s="7">
        <f t="shared" si="14"/>
        <v>60</v>
      </c>
      <c r="M40" s="2"/>
      <c r="N40" s="6">
        <f t="shared" si="15"/>
        <v>0</v>
      </c>
      <c r="O40" s="11"/>
      <c r="P40" s="7">
        <v>282.7</v>
      </c>
      <c r="Q40" s="2"/>
      <c r="R40" s="6">
        <f t="shared" si="16"/>
        <v>4.6076874416052635E-4</v>
      </c>
      <c r="S40" s="2"/>
      <c r="T40" s="7"/>
      <c r="U40" s="2"/>
      <c r="V40" s="6">
        <f t="shared" si="17"/>
        <v>0</v>
      </c>
      <c r="W40" s="2"/>
      <c r="X40" s="7">
        <f t="shared" si="18"/>
        <v>282.7</v>
      </c>
      <c r="Y40" s="2"/>
      <c r="Z40" s="6">
        <f t="shared" si="19"/>
        <v>0</v>
      </c>
    </row>
    <row r="41" spans="1:26" s="24" customFormat="1" hidden="1" outlineLevel="2" x14ac:dyDescent="0.25">
      <c r="A41" s="29"/>
      <c r="B41" s="11" t="str">
        <f>CONCATENATE("          ", "6118", " - ", "VACATION")</f>
        <v xml:space="preserve">          6118 - VACATION</v>
      </c>
      <c r="C41" s="11"/>
      <c r="D41" s="7">
        <v>123.2</v>
      </c>
      <c r="E41" s="2"/>
      <c r="F41" s="6">
        <f t="shared" si="12"/>
        <v>7.0456361062772456E-4</v>
      </c>
      <c r="G41" s="2"/>
      <c r="H41" s="7">
        <v>179.29106999999999</v>
      </c>
      <c r="I41" s="2"/>
      <c r="J41" s="6">
        <f t="shared" si="13"/>
        <v>7.4628429311744259E-4</v>
      </c>
      <c r="K41" s="2"/>
      <c r="L41" s="7">
        <f t="shared" si="14"/>
        <v>-56.091069999999988</v>
      </c>
      <c r="M41" s="2"/>
      <c r="N41" s="6">
        <f t="shared" si="15"/>
        <v>-0.31284921217771744</v>
      </c>
      <c r="O41" s="11"/>
      <c r="P41" s="7">
        <v>252.56</v>
      </c>
      <c r="Q41" s="2"/>
      <c r="R41" s="6">
        <f t="shared" si="16"/>
        <v>4.1164398310994887E-4</v>
      </c>
      <c r="S41" s="2"/>
      <c r="T41" s="7">
        <v>582.69597750000003</v>
      </c>
      <c r="U41" s="2"/>
      <c r="V41" s="6">
        <f t="shared" si="17"/>
        <v>6.5168680065090848E-4</v>
      </c>
      <c r="W41" s="2"/>
      <c r="X41" s="7">
        <f t="shared" si="18"/>
        <v>-330.13597750000002</v>
      </c>
      <c r="Y41" s="2"/>
      <c r="Z41" s="6">
        <f t="shared" si="19"/>
        <v>-0.56656642614286801</v>
      </c>
    </row>
    <row r="42" spans="1:26" s="24" customFormat="1" hidden="1" outlineLevel="2" x14ac:dyDescent="0.25">
      <c r="A42" s="29"/>
      <c r="B42" s="11" t="str">
        <f>CONCATENATE("          ", "6119", " - ", "SICK LEAVE")</f>
        <v xml:space="preserve">          6119 - SICK LEAVE</v>
      </c>
      <c r="C42" s="11"/>
      <c r="D42" s="7">
        <v>147.6</v>
      </c>
      <c r="E42" s="2"/>
      <c r="F42" s="6">
        <f t="shared" si="12"/>
        <v>8.4410380623905947E-4</v>
      </c>
      <c r="G42" s="2"/>
      <c r="H42" s="7">
        <v>273.96737999999999</v>
      </c>
      <c r="I42" s="2"/>
      <c r="J42" s="6">
        <f t="shared" si="13"/>
        <v>1.1403666257362277E-3</v>
      </c>
      <c r="K42" s="2"/>
      <c r="L42" s="7">
        <f t="shared" si="14"/>
        <v>-126.36738</v>
      </c>
      <c r="M42" s="2"/>
      <c r="N42" s="6">
        <f t="shared" si="15"/>
        <v>-0.46124972980359924</v>
      </c>
      <c r="O42" s="11"/>
      <c r="P42" s="7">
        <v>302.58</v>
      </c>
      <c r="Q42" s="2"/>
      <c r="R42" s="6">
        <f t="shared" si="16"/>
        <v>4.9317087586873737E-4</v>
      </c>
      <c r="S42" s="2"/>
      <c r="T42" s="7">
        <v>848.18398500000001</v>
      </c>
      <c r="U42" s="2"/>
      <c r="V42" s="6">
        <f t="shared" si="17"/>
        <v>9.4860841483668571E-4</v>
      </c>
      <c r="W42" s="2"/>
      <c r="X42" s="7">
        <f t="shared" si="18"/>
        <v>-545.60398499999997</v>
      </c>
      <c r="Y42" s="2"/>
      <c r="Z42" s="6">
        <f t="shared" si="19"/>
        <v>-0.64326136150755076</v>
      </c>
    </row>
    <row r="43" spans="1:26" s="24" customFormat="1" hidden="1" outlineLevel="2" x14ac:dyDescent="0.25">
      <c r="A43" s="29"/>
      <c r="B43" s="11" t="str">
        <f>CONCATENATE("          ", "6156", " - ", "EMPLOYEE MEALS")</f>
        <v xml:space="preserve">          6156 - EMPLOYEE MEALS</v>
      </c>
      <c r="C43" s="11"/>
      <c r="D43" s="7">
        <v>166.65</v>
      </c>
      <c r="E43" s="2"/>
      <c r="F43" s="6">
        <f t="shared" si="12"/>
        <v>9.5304809830446663E-4</v>
      </c>
      <c r="G43" s="2"/>
      <c r="H43" s="7">
        <v>350</v>
      </c>
      <c r="I43" s="2"/>
      <c r="J43" s="6">
        <f t="shared" si="13"/>
        <v>1.4568461362359259E-3</v>
      </c>
      <c r="K43" s="2"/>
      <c r="L43" s="7">
        <f t="shared" si="14"/>
        <v>-183.35</v>
      </c>
      <c r="M43" s="2"/>
      <c r="N43" s="6">
        <f t="shared" si="15"/>
        <v>-0.5238571428571428</v>
      </c>
      <c r="O43" s="11"/>
      <c r="P43" s="7">
        <v>190.36</v>
      </c>
      <c r="Q43" s="2"/>
      <c r="R43" s="6">
        <f t="shared" si="16"/>
        <v>3.1026508007922819E-4</v>
      </c>
      <c r="S43" s="2"/>
      <c r="T43" s="7">
        <v>1050</v>
      </c>
      <c r="U43" s="2"/>
      <c r="V43" s="6">
        <f t="shared" si="17"/>
        <v>1.1743193141975205E-3</v>
      </c>
      <c r="W43" s="2"/>
      <c r="X43" s="7">
        <f t="shared" si="18"/>
        <v>-859.64</v>
      </c>
      <c r="Y43" s="2"/>
      <c r="Z43" s="6">
        <f t="shared" si="19"/>
        <v>-0.81870476190476194</v>
      </c>
    </row>
    <row r="44" spans="1:26" s="28" customFormat="1" outlineLevel="1" collapsed="1" x14ac:dyDescent="0.25">
      <c r="A44" s="27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SUM(OSRRefD22_1x_0)</f>
        <v>9752.59</v>
      </c>
      <c r="E44" s="1"/>
      <c r="F44" s="5">
        <f t="shared" ref="F44:F54" si="20">IF(D$12=0,0,D44/D$12)</f>
        <v>5.5773701488407788E-2</v>
      </c>
      <c r="G44" s="1"/>
      <c r="H44" s="1">
        <f>SUM(OSRRefH22_1x_0)</f>
        <v>10825.55055</v>
      </c>
      <c r="I44" s="1"/>
      <c r="J44" s="5">
        <f t="shared" ref="J44:J54" si="21">IF(H$12=0,0,H44/H$12)</f>
        <v>4.5060461403983433E-2</v>
      </c>
      <c r="K44" s="1"/>
      <c r="L44" s="1">
        <f t="shared" ref="L44:L54" si="22">+D44-H44</f>
        <v>-1072.9605499999998</v>
      </c>
      <c r="M44" s="1"/>
      <c r="N44" s="5">
        <f t="shared" ref="N44:N54" si="23">IF(H44=0,0,L44/H44)</f>
        <v>-9.911371666912587E-2</v>
      </c>
      <c r="O44" s="14"/>
      <c r="P44" s="1">
        <f>SUM(OSRRefP22_1x_0)</f>
        <v>29628.46</v>
      </c>
      <c r="Q44" s="1"/>
      <c r="R44" s="5">
        <f t="shared" ref="R44:R54" si="24">IF(P$12=0,0,P44/P$12)</f>
        <v>4.8291009216874382E-2</v>
      </c>
      <c r="S44" s="1"/>
      <c r="T44" s="1">
        <f>SUM(OSRRefT22_1x_0)</f>
        <v>33776.039287499996</v>
      </c>
      <c r="U44" s="1"/>
      <c r="V44" s="5">
        <f t="shared" ref="V44:V54" si="25">IF(T$12=0,0,T44/T$12)</f>
        <v>3.7775100278481431E-2</v>
      </c>
      <c r="W44" s="1"/>
      <c r="X44" s="1">
        <f t="shared" ref="X44:X54" si="26">+P44-T44</f>
        <v>-4147.579287499997</v>
      </c>
      <c r="Y44" s="1"/>
      <c r="Z44" s="5">
        <f t="shared" ref="Z44:Z54" si="27">IF(T44=0,0,X44/T44)</f>
        <v>-0.12279649642150178</v>
      </c>
    </row>
    <row r="45" spans="1:26" s="24" customFormat="1" hidden="1" outlineLevel="2" x14ac:dyDescent="0.25">
      <c r="A45" s="29"/>
      <c r="B45" s="11" t="str">
        <f>CONCATENATE("          ", "6001", " - ", "ADMINISTRATIVE SALARIES")</f>
        <v xml:space="preserve">          6001 - ADMINISTRATIVE SALARIES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9"/>
      <c r="B46" s="11" t="str">
        <f>CONCATENATE("          ", "6002", " - ", "STAFF SALARIES")</f>
        <v xml:space="preserve">          6002 - STAFF SALARIES</v>
      </c>
      <c r="C46" s="11"/>
      <c r="D46" s="7">
        <v>1307.7</v>
      </c>
      <c r="E46" s="2"/>
      <c r="F46" s="6">
        <f t="shared" si="20"/>
        <v>7.4785538443009362E-3</v>
      </c>
      <c r="G46" s="2"/>
      <c r="H46" s="7">
        <v>2233.2305500000002</v>
      </c>
      <c r="I46" s="2"/>
      <c r="J46" s="6">
        <f t="shared" si="21"/>
        <v>9.2956379945472335E-3</v>
      </c>
      <c r="K46" s="2"/>
      <c r="L46" s="7">
        <f t="shared" si="22"/>
        <v>-925.53055000000018</v>
      </c>
      <c r="M46" s="2"/>
      <c r="N46" s="6">
        <f t="shared" si="23"/>
        <v>-0.41443573750144164</v>
      </c>
      <c r="O46" s="11"/>
      <c r="P46" s="7">
        <v>7402.32</v>
      </c>
      <c r="Q46" s="2"/>
      <c r="R46" s="6">
        <f t="shared" si="24"/>
        <v>1.2064937001324187E-2</v>
      </c>
      <c r="S46" s="2"/>
      <c r="T46" s="7">
        <v>7257.9992874999998</v>
      </c>
      <c r="U46" s="2"/>
      <c r="V46" s="6">
        <f t="shared" si="25"/>
        <v>8.1173416626124685E-3</v>
      </c>
      <c r="W46" s="2"/>
      <c r="X46" s="7">
        <f t="shared" si="26"/>
        <v>144.3207124999999</v>
      </c>
      <c r="Y46" s="2"/>
      <c r="Z46" s="6">
        <f t="shared" si="27"/>
        <v>1.9884365757455291E-2</v>
      </c>
    </row>
    <row r="47" spans="1:26" s="24" customFormat="1" hidden="1" outlineLevel="2" x14ac:dyDescent="0.25">
      <c r="A47" s="29"/>
      <c r="B47" s="11" t="str">
        <f>CONCATENATE("          ", "6003", " - ", "STAFF HOURLY-9 MONTH")</f>
        <v xml:space="preserve">          6003 - STAFF HOURLY-9 MONTH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4" customFormat="1" hidden="1" outlineLevel="2" x14ac:dyDescent="0.25">
      <c r="A48" s="29"/>
      <c r="B48" s="11" t="str">
        <f>CONCATENATE("          ", "6004", " - ", "STAFF HOURLY")</f>
        <v xml:space="preserve">          6004 - STAFF HOURLY</v>
      </c>
      <c r="C48" s="11"/>
      <c r="D48" s="7">
        <v>3890.2</v>
      </c>
      <c r="E48" s="2"/>
      <c r="F48" s="6">
        <f t="shared" si="20"/>
        <v>2.2247511023246541E-2</v>
      </c>
      <c r="G48" s="2"/>
      <c r="H48" s="7">
        <v>3444.32</v>
      </c>
      <c r="I48" s="2"/>
      <c r="J48" s="6">
        <f t="shared" si="21"/>
        <v>1.4336697954171784E-2</v>
      </c>
      <c r="K48" s="2"/>
      <c r="L48" s="7">
        <f t="shared" si="22"/>
        <v>445.87999999999965</v>
      </c>
      <c r="M48" s="2"/>
      <c r="N48" s="6">
        <f t="shared" si="23"/>
        <v>0.12945370929530348</v>
      </c>
      <c r="O48" s="11"/>
      <c r="P48" s="7">
        <v>5610.03</v>
      </c>
      <c r="Q48" s="2"/>
      <c r="R48" s="6">
        <f t="shared" si="24"/>
        <v>9.1437088001516727E-3</v>
      </c>
      <c r="S48" s="2"/>
      <c r="T48" s="7">
        <v>11194.04</v>
      </c>
      <c r="U48" s="2"/>
      <c r="V48" s="6">
        <f t="shared" si="25"/>
        <v>1.2519407024666298E-2</v>
      </c>
      <c r="W48" s="2"/>
      <c r="X48" s="7">
        <f t="shared" si="26"/>
        <v>-5584.0100000000011</v>
      </c>
      <c r="Y48" s="2"/>
      <c r="Z48" s="6">
        <f t="shared" si="27"/>
        <v>-0.4988377743870846</v>
      </c>
    </row>
    <row r="49" spans="1:26" s="24" customFormat="1" hidden="1" outlineLevel="2" x14ac:dyDescent="0.25">
      <c r="A49" s="29"/>
      <c r="B49" s="11" t="str">
        <f>CONCATENATE("          ", "6005", " - ", "TEMPORARY WAGES-HOURLY")</f>
        <v xml:space="preserve">          6005 - TEMPORARY WAGES-HOURLY</v>
      </c>
      <c r="C49" s="11"/>
      <c r="D49" s="7">
        <v>1425.28</v>
      </c>
      <c r="E49" s="2"/>
      <c r="F49" s="6">
        <f t="shared" si="20"/>
        <v>8.1509774590542462E-3</v>
      </c>
      <c r="G49" s="2"/>
      <c r="H49" s="7">
        <v>0</v>
      </c>
      <c r="I49" s="2"/>
      <c r="J49" s="6">
        <f t="shared" si="21"/>
        <v>0</v>
      </c>
      <c r="K49" s="2"/>
      <c r="L49" s="7">
        <f t="shared" si="22"/>
        <v>1425.28</v>
      </c>
      <c r="M49" s="2"/>
      <c r="N49" s="6">
        <f t="shared" si="23"/>
        <v>0</v>
      </c>
      <c r="O49" s="11"/>
      <c r="P49" s="7">
        <v>1425.28</v>
      </c>
      <c r="Q49" s="2"/>
      <c r="R49" s="6">
        <f t="shared" si="24"/>
        <v>2.323043776714238E-3</v>
      </c>
      <c r="S49" s="2"/>
      <c r="T49" s="7">
        <v>0</v>
      </c>
      <c r="U49" s="2"/>
      <c r="V49" s="6">
        <f t="shared" si="25"/>
        <v>0</v>
      </c>
      <c r="W49" s="2"/>
      <c r="X49" s="7">
        <f t="shared" si="26"/>
        <v>1425.28</v>
      </c>
      <c r="Y49" s="2"/>
      <c r="Z49" s="6">
        <f t="shared" si="27"/>
        <v>0</v>
      </c>
    </row>
    <row r="50" spans="1:26" s="24" customFormat="1" hidden="1" outlineLevel="2" x14ac:dyDescent="0.25">
      <c r="A50" s="29"/>
      <c r="B50" s="11" t="str">
        <f>CONCATENATE("          ", "6006", " - ", "TEMPORARY PART TIME")</f>
        <v xml:space="preserve">          6006 - TEMPORARY PART TIME</v>
      </c>
      <c r="C50" s="11"/>
      <c r="D50" s="7"/>
      <c r="E50" s="2"/>
      <c r="F50" s="6">
        <f t="shared" si="20"/>
        <v>0</v>
      </c>
      <c r="G50" s="2"/>
      <c r="H50" s="7">
        <v>0</v>
      </c>
      <c r="I50" s="2"/>
      <c r="J50" s="6">
        <f t="shared" si="21"/>
        <v>0</v>
      </c>
      <c r="K50" s="2"/>
      <c r="L50" s="7">
        <f t="shared" si="22"/>
        <v>0</v>
      </c>
      <c r="M50" s="2"/>
      <c r="N50" s="6">
        <f t="shared" si="23"/>
        <v>0</v>
      </c>
      <c r="O50" s="11"/>
      <c r="P50" s="7"/>
      <c r="Q50" s="2"/>
      <c r="R50" s="6">
        <f t="shared" si="24"/>
        <v>0</v>
      </c>
      <c r="S50" s="2"/>
      <c r="T50" s="7">
        <v>0</v>
      </c>
      <c r="U50" s="2"/>
      <c r="V50" s="6">
        <f t="shared" si="25"/>
        <v>0</v>
      </c>
      <c r="W50" s="2"/>
      <c r="X50" s="7">
        <f t="shared" si="26"/>
        <v>0</v>
      </c>
      <c r="Y50" s="2"/>
      <c r="Z50" s="6">
        <f t="shared" si="27"/>
        <v>0</v>
      </c>
    </row>
    <row r="51" spans="1:26" s="24" customFormat="1" hidden="1" outlineLevel="2" x14ac:dyDescent="0.25">
      <c r="A51" s="29"/>
      <c r="B51" s="11" t="str">
        <f>CONCATENATE("          ", "6007", " - ", "STUDENT HOURLY")</f>
        <v xml:space="preserve">          6007 - STUDENT HOURLY</v>
      </c>
      <c r="C51" s="11"/>
      <c r="D51" s="7">
        <v>1992.89</v>
      </c>
      <c r="E51" s="2"/>
      <c r="F51" s="6">
        <f t="shared" si="20"/>
        <v>1.1397059853765308E-2</v>
      </c>
      <c r="G51" s="2"/>
      <c r="H51" s="7">
        <v>0</v>
      </c>
      <c r="I51" s="2"/>
      <c r="J51" s="6">
        <f t="shared" si="21"/>
        <v>0</v>
      </c>
      <c r="K51" s="2"/>
      <c r="L51" s="7">
        <f t="shared" si="22"/>
        <v>1992.89</v>
      </c>
      <c r="M51" s="2"/>
      <c r="N51" s="6">
        <f t="shared" si="23"/>
        <v>0</v>
      </c>
      <c r="O51" s="11"/>
      <c r="P51" s="7">
        <v>12896.76</v>
      </c>
      <c r="Q51" s="2"/>
      <c r="R51" s="6">
        <f t="shared" si="24"/>
        <v>2.1020247290200602E-2</v>
      </c>
      <c r="S51" s="2"/>
      <c r="T51" s="7">
        <v>10176</v>
      </c>
      <c r="U51" s="2"/>
      <c r="V51" s="6">
        <f t="shared" si="25"/>
        <v>1.1380831753594256E-2</v>
      </c>
      <c r="W51" s="2"/>
      <c r="X51" s="7">
        <f t="shared" si="26"/>
        <v>2720.76</v>
      </c>
      <c r="Y51" s="2"/>
      <c r="Z51" s="6">
        <f t="shared" si="27"/>
        <v>0.26737028301886795</v>
      </c>
    </row>
    <row r="52" spans="1:26" s="24" customFormat="1" hidden="1" outlineLevel="2" x14ac:dyDescent="0.25">
      <c r="A52" s="29"/>
      <c r="B52" s="11" t="str">
        <f>CONCATENATE("          ", "6008", " - ", "STUDENT HOURLY-FICA EXEMPT")</f>
        <v xml:space="preserve">          6008 - STUDENT HOURLY-FICA EXEMPT</v>
      </c>
      <c r="C52" s="11"/>
      <c r="D52" s="7">
        <v>1136.52</v>
      </c>
      <c r="E52" s="2"/>
      <c r="F52" s="6">
        <f t="shared" si="20"/>
        <v>6.4995993080407587E-3</v>
      </c>
      <c r="G52" s="2"/>
      <c r="H52" s="7">
        <v>5148</v>
      </c>
      <c r="I52" s="2"/>
      <c r="J52" s="6">
        <f t="shared" si="21"/>
        <v>2.1428125455264419E-2</v>
      </c>
      <c r="K52" s="2"/>
      <c r="L52" s="7">
        <f t="shared" si="22"/>
        <v>-4011.48</v>
      </c>
      <c r="M52" s="2"/>
      <c r="N52" s="6">
        <f t="shared" si="23"/>
        <v>-0.77923076923076928</v>
      </c>
      <c r="O52" s="11"/>
      <c r="P52" s="7">
        <v>2294.0700000000002</v>
      </c>
      <c r="Q52" s="2"/>
      <c r="R52" s="6">
        <f t="shared" si="24"/>
        <v>3.7390723484836889E-3</v>
      </c>
      <c r="S52" s="2"/>
      <c r="T52" s="7">
        <v>5148</v>
      </c>
      <c r="U52" s="2"/>
      <c r="V52" s="6">
        <f t="shared" si="25"/>
        <v>5.7575198376084149E-3</v>
      </c>
      <c r="W52" s="2"/>
      <c r="X52" s="7">
        <f t="shared" si="26"/>
        <v>-2853.93</v>
      </c>
      <c r="Y52" s="2"/>
      <c r="Z52" s="6">
        <f t="shared" si="27"/>
        <v>-0.55437645687645687</v>
      </c>
    </row>
    <row r="53" spans="1:26" s="24" customFormat="1" hidden="1" outlineLevel="2" x14ac:dyDescent="0.25">
      <c r="A53" s="29"/>
      <c r="B53" s="11" t="str">
        <f>CONCATENATE("          ", "6009", " - ", "TEMPORARY-SEASONAL")</f>
        <v xml:space="preserve">          6009 - TEMPORARY-SEASONAL</v>
      </c>
      <c r="C53" s="11"/>
      <c r="D53" s="7"/>
      <c r="E53" s="2"/>
      <c r="F53" s="6">
        <f t="shared" si="20"/>
        <v>0</v>
      </c>
      <c r="G53" s="2"/>
      <c r="H53" s="7">
        <v>0</v>
      </c>
      <c r="I53" s="2"/>
      <c r="J53" s="6">
        <f t="shared" si="21"/>
        <v>0</v>
      </c>
      <c r="K53" s="2"/>
      <c r="L53" s="7">
        <f t="shared" si="22"/>
        <v>0</v>
      </c>
      <c r="M53" s="2"/>
      <c r="N53" s="6">
        <f t="shared" si="23"/>
        <v>0</v>
      </c>
      <c r="O53" s="11"/>
      <c r="P53" s="7"/>
      <c r="Q53" s="2"/>
      <c r="R53" s="6">
        <f t="shared" si="24"/>
        <v>0</v>
      </c>
      <c r="S53" s="2"/>
      <c r="T53" s="7">
        <v>0</v>
      </c>
      <c r="U53" s="2"/>
      <c r="V53" s="6">
        <f t="shared" si="25"/>
        <v>0</v>
      </c>
      <c r="W53" s="2"/>
      <c r="X53" s="7">
        <f t="shared" si="26"/>
        <v>0</v>
      </c>
      <c r="Y53" s="2"/>
      <c r="Z53" s="6">
        <f t="shared" si="27"/>
        <v>0</v>
      </c>
    </row>
    <row r="54" spans="1:26" s="24" customFormat="1" hidden="1" outlineLevel="2" x14ac:dyDescent="0.25">
      <c r="A54" s="29"/>
      <c r="B54" s="11" t="str">
        <f>CONCATENATE("          ", "6010", " - ", "GRATUITY")</f>
        <v xml:space="preserve">          6010 - GRATUITY</v>
      </c>
      <c r="C54" s="11"/>
      <c r="D54" s="7"/>
      <c r="E54" s="2"/>
      <c r="F54" s="6">
        <f t="shared" si="20"/>
        <v>0</v>
      </c>
      <c r="G54" s="2"/>
      <c r="H54" s="7">
        <v>0</v>
      </c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0</v>
      </c>
      <c r="U54" s="2"/>
      <c r="V54" s="6">
        <f t="shared" si="25"/>
        <v>0</v>
      </c>
      <c r="W54" s="2"/>
      <c r="X54" s="7">
        <f t="shared" si="26"/>
        <v>0</v>
      </c>
      <c r="Y54" s="2"/>
      <c r="Z54" s="6">
        <f t="shared" si="27"/>
        <v>0</v>
      </c>
    </row>
    <row r="55" spans="1:26" s="28" customFormat="1" outlineLevel="1" collapsed="1" x14ac:dyDescent="0.25">
      <c r="A55" s="27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SUM(OSRRefD22_2x_0)</f>
        <v>19.850000000000001</v>
      </c>
      <c r="E55" s="1"/>
      <c r="F55" s="5">
        <f t="shared" ref="F55:F69" si="28">IF(D$12=0,0,D55/D$12)</f>
        <v>1.1351938044610659E-4</v>
      </c>
      <c r="G55" s="1"/>
      <c r="H55" s="1">
        <f>SUM(OSRRefH22_2x_0)</f>
        <v>200</v>
      </c>
      <c r="I55" s="1"/>
      <c r="J55" s="5">
        <f t="shared" ref="J55:J69" si="29">IF(H$12=0,0,H55/H$12)</f>
        <v>8.3248350642052907E-4</v>
      </c>
      <c r="K55" s="1"/>
      <c r="L55" s="1">
        <f t="shared" ref="L55:L69" si="30">+D55-H55</f>
        <v>-180.15</v>
      </c>
      <c r="M55" s="1"/>
      <c r="N55" s="5">
        <f t="shared" ref="N55:N69" si="31">IF(H55=0,0,L55/H55)</f>
        <v>-0.90075000000000005</v>
      </c>
      <c r="O55" s="14"/>
      <c r="P55" s="1">
        <f>SUM(OSRRefP22_2x_0)</f>
        <v>104.89</v>
      </c>
      <c r="Q55" s="1"/>
      <c r="R55" s="5">
        <f t="shared" ref="R55:R69" si="32">IF(P$12=0,0,P55/P$12)</f>
        <v>1.7095873213653206E-4</v>
      </c>
      <c r="S55" s="1"/>
      <c r="T55" s="1">
        <f>SUM(OSRRefT22_2x_0)</f>
        <v>600</v>
      </c>
      <c r="U55" s="1"/>
      <c r="V55" s="5">
        <f t="shared" ref="V55:V69" si="33">IF(T$12=0,0,T55/T$12)</f>
        <v>6.7103960811286888E-4</v>
      </c>
      <c r="W55" s="1"/>
      <c r="X55" s="1">
        <f t="shared" ref="X55:X69" si="34">+P55-T55</f>
        <v>-495.11</v>
      </c>
      <c r="Y55" s="1"/>
      <c r="Z55" s="5">
        <f t="shared" ref="Z55:Z69" si="35">IF(T55=0,0,X55/T55)</f>
        <v>-0.82518333333333338</v>
      </c>
    </row>
    <row r="56" spans="1:26" s="24" customFormat="1" hidden="1" outlineLevel="2" x14ac:dyDescent="0.25">
      <c r="A56" s="29"/>
      <c r="B56" s="11" t="str">
        <f>CONCATENATE("          ", "6362", " - ", "ADVERTISING EXPENSE")</f>
        <v xml:space="preserve">          6362 - ADVERTISING EXPENSE</v>
      </c>
      <c r="C56" s="11"/>
      <c r="D56" s="7">
        <v>19.850000000000001</v>
      </c>
      <c r="E56" s="2"/>
      <c r="F56" s="6">
        <f t="shared" si="28"/>
        <v>1.1351938044610659E-4</v>
      </c>
      <c r="G56" s="2"/>
      <c r="H56" s="7">
        <v>200</v>
      </c>
      <c r="I56" s="2"/>
      <c r="J56" s="6">
        <f t="shared" si="29"/>
        <v>8.3248350642052907E-4</v>
      </c>
      <c r="K56" s="2"/>
      <c r="L56" s="7">
        <f t="shared" si="30"/>
        <v>-180.15</v>
      </c>
      <c r="M56" s="2"/>
      <c r="N56" s="6">
        <f t="shared" si="31"/>
        <v>-0.90075000000000005</v>
      </c>
      <c r="O56" s="11"/>
      <c r="P56" s="7">
        <v>104.89</v>
      </c>
      <c r="Q56" s="2"/>
      <c r="R56" s="6">
        <f t="shared" si="32"/>
        <v>1.7095873213653206E-4</v>
      </c>
      <c r="S56" s="2"/>
      <c r="T56" s="7">
        <v>600</v>
      </c>
      <c r="U56" s="2"/>
      <c r="V56" s="6">
        <f t="shared" si="33"/>
        <v>6.7103960811286888E-4</v>
      </c>
      <c r="W56" s="2"/>
      <c r="X56" s="7">
        <f t="shared" si="34"/>
        <v>-495.11</v>
      </c>
      <c r="Y56" s="2"/>
      <c r="Z56" s="6">
        <f t="shared" si="35"/>
        <v>-0.82518333333333338</v>
      </c>
    </row>
    <row r="57" spans="1:26" s="28" customFormat="1" outlineLevel="1" collapsed="1" x14ac:dyDescent="0.25">
      <c r="A57" s="27"/>
      <c r="B57" s="14" t="str">
        <f>CONCATENATE("     ","Depreciation                                      ")</f>
        <v xml:space="preserve">     Depreciation                                      </v>
      </c>
      <c r="C57" s="14"/>
      <c r="D57" s="1">
        <f>SUM(OSRRefD22_3x_0)</f>
        <v>280.44</v>
      </c>
      <c r="E57" s="1"/>
      <c r="F57" s="5">
        <f t="shared" si="28"/>
        <v>1.6037972318542133E-3</v>
      </c>
      <c r="G57" s="1"/>
      <c r="H57" s="1">
        <f>SUM(OSRRefH22_3x_0)</f>
        <v>0</v>
      </c>
      <c r="I57" s="1"/>
      <c r="J57" s="5">
        <f t="shared" si="29"/>
        <v>0</v>
      </c>
      <c r="K57" s="1"/>
      <c r="L57" s="1">
        <f t="shared" si="30"/>
        <v>280.44</v>
      </c>
      <c r="M57" s="1"/>
      <c r="N57" s="5">
        <f t="shared" si="31"/>
        <v>0</v>
      </c>
      <c r="O57" s="14"/>
      <c r="P57" s="1">
        <f>SUM(OSRRefP22_3x_0)</f>
        <v>841.32</v>
      </c>
      <c r="Q57" s="1"/>
      <c r="R57" s="5">
        <f t="shared" si="32"/>
        <v>1.3712556060740506E-3</v>
      </c>
      <c r="S57" s="1"/>
      <c r="T57" s="1">
        <f>SUM(OSRRefT22_3x_0)</f>
        <v>0</v>
      </c>
      <c r="U57" s="1"/>
      <c r="V57" s="5">
        <f t="shared" si="33"/>
        <v>0</v>
      </c>
      <c r="W57" s="1"/>
      <c r="X57" s="1">
        <f t="shared" si="34"/>
        <v>841.32</v>
      </c>
      <c r="Y57" s="1"/>
      <c r="Z57" s="5">
        <f t="shared" si="35"/>
        <v>0</v>
      </c>
    </row>
    <row r="58" spans="1:26" s="24" customFormat="1" hidden="1" outlineLevel="2" x14ac:dyDescent="0.25">
      <c r="A58" s="29"/>
      <c r="B58" s="11" t="str">
        <f>CONCATENATE("          ", "6322", " - ", "EQUIPMENT DEPRECIATION EXPENSE")</f>
        <v xml:space="preserve">          6322 - EQUIPMENT DEPRECIATION EXPENSE</v>
      </c>
      <c r="C58" s="11"/>
      <c r="D58" s="7">
        <v>280.44</v>
      </c>
      <c r="E58" s="2"/>
      <c r="F58" s="6">
        <f t="shared" si="28"/>
        <v>1.6037972318542133E-3</v>
      </c>
      <c r="G58" s="2"/>
      <c r="H58" s="7"/>
      <c r="I58" s="2"/>
      <c r="J58" s="6">
        <f t="shared" si="29"/>
        <v>0</v>
      </c>
      <c r="K58" s="2"/>
      <c r="L58" s="7">
        <f t="shared" si="30"/>
        <v>280.44</v>
      </c>
      <c r="M58" s="2"/>
      <c r="N58" s="6">
        <f t="shared" si="31"/>
        <v>0</v>
      </c>
      <c r="O58" s="11"/>
      <c r="P58" s="7">
        <v>841.32</v>
      </c>
      <c r="Q58" s="2"/>
      <c r="R58" s="6">
        <f t="shared" si="32"/>
        <v>1.3712556060740506E-3</v>
      </c>
      <c r="S58" s="2"/>
      <c r="T58" s="7"/>
      <c r="U58" s="2"/>
      <c r="V58" s="6">
        <f t="shared" si="33"/>
        <v>0</v>
      </c>
      <c r="W58" s="2"/>
      <c r="X58" s="7">
        <f t="shared" si="34"/>
        <v>841.32</v>
      </c>
      <c r="Y58" s="2"/>
      <c r="Z58" s="6">
        <f t="shared" si="35"/>
        <v>0</v>
      </c>
    </row>
    <row r="59" spans="1:26" s="28" customFormat="1" outlineLevel="1" collapsed="1" x14ac:dyDescent="0.25">
      <c r="A59" s="27"/>
      <c r="B59" s="14" t="str">
        <f>CONCATENATE("     ","Employees' Appreciation                           ")</f>
        <v xml:space="preserve">     Employees' Appreciation                           </v>
      </c>
      <c r="C59" s="14"/>
      <c r="D59" s="1">
        <f>SUM(OSRRefD22_4x_0)</f>
        <v>0</v>
      </c>
      <c r="E59" s="1"/>
      <c r="F59" s="5">
        <f t="shared" si="28"/>
        <v>0</v>
      </c>
      <c r="G59" s="1"/>
      <c r="H59" s="1">
        <f>SUM(OSRRefH22_4x_0)</f>
        <v>20</v>
      </c>
      <c r="I59" s="1"/>
      <c r="J59" s="5">
        <f t="shared" si="29"/>
        <v>8.3248350642052909E-5</v>
      </c>
      <c r="K59" s="1"/>
      <c r="L59" s="1">
        <f t="shared" si="30"/>
        <v>-20</v>
      </c>
      <c r="M59" s="1"/>
      <c r="N59" s="5">
        <f t="shared" si="31"/>
        <v>-1</v>
      </c>
      <c r="O59" s="14"/>
      <c r="P59" s="1">
        <f>SUM(OSRRefP22_4x_0)</f>
        <v>0</v>
      </c>
      <c r="Q59" s="1"/>
      <c r="R59" s="5">
        <f t="shared" si="32"/>
        <v>0</v>
      </c>
      <c r="S59" s="1"/>
      <c r="T59" s="1">
        <f>SUM(OSRRefT22_4x_0)</f>
        <v>60</v>
      </c>
      <c r="U59" s="1"/>
      <c r="V59" s="5">
        <f t="shared" si="33"/>
        <v>6.710396081128688E-5</v>
      </c>
      <c r="W59" s="1"/>
      <c r="X59" s="1">
        <f t="shared" si="34"/>
        <v>-60</v>
      </c>
      <c r="Y59" s="1"/>
      <c r="Z59" s="5">
        <f t="shared" si="35"/>
        <v>-1</v>
      </c>
    </row>
    <row r="60" spans="1:26" s="24" customFormat="1" hidden="1" outlineLevel="2" x14ac:dyDescent="0.25">
      <c r="A60" s="29"/>
      <c r="B60" s="11" t="str">
        <f>CONCATENATE("          ", "6277", " - ", "EMPLOYEE APPRECIATION")</f>
        <v xml:space="preserve">          6277 - EMPLOYEE APPRECIATION</v>
      </c>
      <c r="C60" s="11"/>
      <c r="D60" s="7"/>
      <c r="E60" s="2"/>
      <c r="F60" s="6">
        <f t="shared" si="28"/>
        <v>0</v>
      </c>
      <c r="G60" s="2"/>
      <c r="H60" s="7">
        <v>20</v>
      </c>
      <c r="I60" s="2"/>
      <c r="J60" s="6">
        <f t="shared" si="29"/>
        <v>8.3248350642052909E-5</v>
      </c>
      <c r="K60" s="2"/>
      <c r="L60" s="7">
        <f t="shared" si="30"/>
        <v>-20</v>
      </c>
      <c r="M60" s="2"/>
      <c r="N60" s="6">
        <f t="shared" si="31"/>
        <v>-1</v>
      </c>
      <c r="O60" s="11"/>
      <c r="P60" s="7"/>
      <c r="Q60" s="2"/>
      <c r="R60" s="6">
        <f t="shared" si="32"/>
        <v>0</v>
      </c>
      <c r="S60" s="2"/>
      <c r="T60" s="7">
        <v>60</v>
      </c>
      <c r="U60" s="2"/>
      <c r="V60" s="6">
        <f t="shared" si="33"/>
        <v>6.710396081128688E-5</v>
      </c>
      <c r="W60" s="2"/>
      <c r="X60" s="7">
        <f t="shared" si="34"/>
        <v>-60</v>
      </c>
      <c r="Y60" s="2"/>
      <c r="Z60" s="6">
        <f t="shared" si="35"/>
        <v>-1</v>
      </c>
    </row>
    <row r="61" spans="1:26" s="28" customFormat="1" outlineLevel="1" collapsed="1" x14ac:dyDescent="0.25">
      <c r="A61" s="27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SUM(OSRRefD22_5x_0)</f>
        <v>23.18</v>
      </c>
      <c r="E61" s="1"/>
      <c r="F61" s="5">
        <f t="shared" si="28"/>
        <v>1.3256318583076829E-4</v>
      </c>
      <c r="G61" s="1"/>
      <c r="H61" s="1">
        <f>SUM(OSRRefH22_5x_0)</f>
        <v>15</v>
      </c>
      <c r="I61" s="1"/>
      <c r="J61" s="5">
        <f t="shared" si="29"/>
        <v>6.2436262981539672E-5</v>
      </c>
      <c r="K61" s="1"/>
      <c r="L61" s="1">
        <f t="shared" si="30"/>
        <v>8.18</v>
      </c>
      <c r="M61" s="1"/>
      <c r="N61" s="5">
        <f t="shared" si="31"/>
        <v>0.54533333333333334</v>
      </c>
      <c r="O61" s="14"/>
      <c r="P61" s="1">
        <f>SUM(OSRRefP22_5x_0)</f>
        <v>116.37</v>
      </c>
      <c r="Q61" s="1"/>
      <c r="R61" s="5">
        <f t="shared" si="32"/>
        <v>1.8966982227789337E-4</v>
      </c>
      <c r="S61" s="1"/>
      <c r="T61" s="1">
        <f>SUM(OSRRefT22_5x_0)</f>
        <v>45</v>
      </c>
      <c r="U61" s="1"/>
      <c r="V61" s="5">
        <f t="shared" si="33"/>
        <v>5.0327970608465163E-5</v>
      </c>
      <c r="W61" s="1"/>
      <c r="X61" s="1">
        <f t="shared" si="34"/>
        <v>71.37</v>
      </c>
      <c r="Y61" s="1"/>
      <c r="Z61" s="5">
        <f t="shared" si="35"/>
        <v>1.5860000000000001</v>
      </c>
    </row>
    <row r="62" spans="1:26" s="24" customFormat="1" hidden="1" outlineLevel="2" x14ac:dyDescent="0.25">
      <c r="A62" s="29"/>
      <c r="B62" s="11" t="str">
        <f>CONCATENATE("          ", "6305", " - ", "FREIGHT OUT")</f>
        <v xml:space="preserve">          6305 - FREIGHT OUT</v>
      </c>
      <c r="C62" s="11"/>
      <c r="D62" s="7">
        <v>23.18</v>
      </c>
      <c r="E62" s="2"/>
      <c r="F62" s="6">
        <f t="shared" si="28"/>
        <v>1.3256318583076829E-4</v>
      </c>
      <c r="G62" s="2"/>
      <c r="H62" s="7">
        <v>15</v>
      </c>
      <c r="I62" s="2"/>
      <c r="J62" s="6">
        <f t="shared" si="29"/>
        <v>6.2436262981539672E-5</v>
      </c>
      <c r="K62" s="2"/>
      <c r="L62" s="7">
        <f t="shared" si="30"/>
        <v>8.18</v>
      </c>
      <c r="M62" s="2"/>
      <c r="N62" s="6">
        <f t="shared" si="31"/>
        <v>0.54533333333333334</v>
      </c>
      <c r="O62" s="11"/>
      <c r="P62" s="7">
        <v>116.37</v>
      </c>
      <c r="Q62" s="2"/>
      <c r="R62" s="6">
        <f t="shared" si="32"/>
        <v>1.8966982227789337E-4</v>
      </c>
      <c r="S62" s="2"/>
      <c r="T62" s="7">
        <v>45</v>
      </c>
      <c r="U62" s="2"/>
      <c r="V62" s="6">
        <f t="shared" si="33"/>
        <v>5.0327970608465163E-5</v>
      </c>
      <c r="W62" s="2"/>
      <c r="X62" s="7">
        <f t="shared" si="34"/>
        <v>71.37</v>
      </c>
      <c r="Y62" s="2"/>
      <c r="Z62" s="6">
        <f t="shared" si="35"/>
        <v>1.5860000000000001</v>
      </c>
    </row>
    <row r="63" spans="1:26" s="28" customFormat="1" outlineLevel="1" collapsed="1" x14ac:dyDescent="0.25">
      <c r="A63" s="27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SUM(OSRRefD22_6x_0)</f>
        <v>0</v>
      </c>
      <c r="E63" s="1"/>
      <c r="F63" s="5">
        <f t="shared" si="28"/>
        <v>0</v>
      </c>
      <c r="G63" s="1"/>
      <c r="H63" s="1">
        <f>SUM(OSRRefH22_6x_0)</f>
        <v>30</v>
      </c>
      <c r="I63" s="1"/>
      <c r="J63" s="5">
        <f t="shared" si="29"/>
        <v>1.2487252596307934E-4</v>
      </c>
      <c r="K63" s="1"/>
      <c r="L63" s="1">
        <f t="shared" si="30"/>
        <v>-30</v>
      </c>
      <c r="M63" s="1"/>
      <c r="N63" s="5">
        <f t="shared" si="31"/>
        <v>-1</v>
      </c>
      <c r="O63" s="14"/>
      <c r="P63" s="1">
        <f>SUM(OSRRefP22_6x_0)</f>
        <v>0</v>
      </c>
      <c r="Q63" s="1"/>
      <c r="R63" s="5">
        <f t="shared" si="32"/>
        <v>0</v>
      </c>
      <c r="S63" s="1"/>
      <c r="T63" s="1">
        <f>SUM(OSRRefT22_6x_0)</f>
        <v>90</v>
      </c>
      <c r="U63" s="1"/>
      <c r="V63" s="5">
        <f t="shared" si="33"/>
        <v>1.0065594121693033E-4</v>
      </c>
      <c r="W63" s="1"/>
      <c r="X63" s="1">
        <f t="shared" si="34"/>
        <v>-90</v>
      </c>
      <c r="Y63" s="1"/>
      <c r="Z63" s="5">
        <f t="shared" si="35"/>
        <v>-1</v>
      </c>
    </row>
    <row r="64" spans="1:26" s="24" customFormat="1" hidden="1" outlineLevel="2" x14ac:dyDescent="0.25">
      <c r="A64" s="29"/>
      <c r="B64" s="11" t="str">
        <f>CONCATENATE("          ", "6279", " - ", "GENERAL EXPENSE")</f>
        <v xml:space="preserve">          6279 - GENERAL EXPENSE</v>
      </c>
      <c r="C64" s="11"/>
      <c r="D64" s="7"/>
      <c r="E64" s="2"/>
      <c r="F64" s="6">
        <f t="shared" si="28"/>
        <v>0</v>
      </c>
      <c r="G64" s="2"/>
      <c r="H64" s="7">
        <v>30</v>
      </c>
      <c r="I64" s="2"/>
      <c r="J64" s="6">
        <f t="shared" si="29"/>
        <v>1.2487252596307934E-4</v>
      </c>
      <c r="K64" s="2"/>
      <c r="L64" s="7">
        <f t="shared" si="30"/>
        <v>-30</v>
      </c>
      <c r="M64" s="2"/>
      <c r="N64" s="6">
        <f t="shared" si="31"/>
        <v>-1</v>
      </c>
      <c r="O64" s="11"/>
      <c r="P64" s="7"/>
      <c r="Q64" s="2"/>
      <c r="R64" s="6">
        <f t="shared" si="32"/>
        <v>0</v>
      </c>
      <c r="S64" s="2"/>
      <c r="T64" s="7">
        <v>90</v>
      </c>
      <c r="U64" s="2"/>
      <c r="V64" s="6">
        <f t="shared" si="33"/>
        <v>1.0065594121693033E-4</v>
      </c>
      <c r="W64" s="2"/>
      <c r="X64" s="7">
        <f t="shared" si="34"/>
        <v>-90</v>
      </c>
      <c r="Y64" s="2"/>
      <c r="Z64" s="6">
        <f t="shared" si="35"/>
        <v>-1</v>
      </c>
    </row>
    <row r="65" spans="1:26" s="28" customFormat="1" outlineLevel="1" collapsed="1" x14ac:dyDescent="0.25">
      <c r="A65" s="27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SUM(OSRRefD22_7x_0)</f>
        <v>590</v>
      </c>
      <c r="E65" s="1"/>
      <c r="F65" s="5">
        <f t="shared" si="28"/>
        <v>3.3741276807658883E-3</v>
      </c>
      <c r="G65" s="1"/>
      <c r="H65" s="1">
        <f>SUM(OSRRefH22_7x_0)</f>
        <v>1300</v>
      </c>
      <c r="I65" s="1"/>
      <c r="J65" s="5">
        <f t="shared" si="29"/>
        <v>5.4111427917334391E-3</v>
      </c>
      <c r="K65" s="1"/>
      <c r="L65" s="1">
        <f t="shared" si="30"/>
        <v>-710</v>
      </c>
      <c r="M65" s="1"/>
      <c r="N65" s="5">
        <f t="shared" si="31"/>
        <v>-0.5461538461538461</v>
      </c>
      <c r="O65" s="14"/>
      <c r="P65" s="1">
        <f>SUM(OSRRefP22_7x_0)</f>
        <v>4080</v>
      </c>
      <c r="Q65" s="1"/>
      <c r="R65" s="5">
        <f t="shared" si="32"/>
        <v>6.649934475327017E-3</v>
      </c>
      <c r="S65" s="1"/>
      <c r="T65" s="1">
        <f>SUM(OSRRefT22_7x_0)</f>
        <v>4790</v>
      </c>
      <c r="U65" s="1"/>
      <c r="V65" s="5">
        <f t="shared" si="33"/>
        <v>5.3571328714344035E-3</v>
      </c>
      <c r="W65" s="1"/>
      <c r="X65" s="1">
        <f t="shared" si="34"/>
        <v>-710</v>
      </c>
      <c r="Y65" s="1"/>
      <c r="Z65" s="5">
        <f t="shared" si="35"/>
        <v>-0.14822546972860126</v>
      </c>
    </row>
    <row r="66" spans="1:26" s="24" customFormat="1" hidden="1" outlineLevel="2" x14ac:dyDescent="0.25">
      <c r="A66" s="29"/>
      <c r="B66" s="11" t="str">
        <f>CONCATENATE("          ", "6408", " - ", "INVENTORY ADJUSTMENT")</f>
        <v xml:space="preserve">          6408 - INVENTORY ADJUSTMENT</v>
      </c>
      <c r="C66" s="11"/>
      <c r="D66" s="7">
        <v>590</v>
      </c>
      <c r="E66" s="2"/>
      <c r="F66" s="6">
        <f t="shared" si="28"/>
        <v>3.3741276807658883E-3</v>
      </c>
      <c r="G66" s="2"/>
      <c r="H66" s="7">
        <v>1300</v>
      </c>
      <c r="I66" s="2"/>
      <c r="J66" s="6">
        <f t="shared" si="29"/>
        <v>5.4111427917334391E-3</v>
      </c>
      <c r="K66" s="2"/>
      <c r="L66" s="7">
        <f t="shared" si="30"/>
        <v>-710</v>
      </c>
      <c r="M66" s="2"/>
      <c r="N66" s="6">
        <f t="shared" si="31"/>
        <v>-0.5461538461538461</v>
      </c>
      <c r="O66" s="11"/>
      <c r="P66" s="7">
        <v>4080</v>
      </c>
      <c r="Q66" s="2"/>
      <c r="R66" s="6">
        <f t="shared" si="32"/>
        <v>6.649934475327017E-3</v>
      </c>
      <c r="S66" s="2"/>
      <c r="T66" s="7">
        <v>4790</v>
      </c>
      <c r="U66" s="2"/>
      <c r="V66" s="6">
        <f t="shared" si="33"/>
        <v>5.3571328714344035E-3</v>
      </c>
      <c r="W66" s="2"/>
      <c r="X66" s="7">
        <f t="shared" si="34"/>
        <v>-710</v>
      </c>
      <c r="Y66" s="2"/>
      <c r="Z66" s="6">
        <f t="shared" si="35"/>
        <v>-0.14822546972860126</v>
      </c>
    </row>
    <row r="67" spans="1:26" s="28" customFormat="1" outlineLevel="1" collapsed="1" x14ac:dyDescent="0.25">
      <c r="A67" s="27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SUM(OSRRefD22_8x_0)</f>
        <v>-150.09</v>
      </c>
      <c r="E67" s="1"/>
      <c r="F67" s="5">
        <f t="shared" si="28"/>
        <v>-8.5834376882398681E-4</v>
      </c>
      <c r="G67" s="1"/>
      <c r="H67" s="1">
        <f>SUM(OSRRefH22_8x_0)</f>
        <v>310</v>
      </c>
      <c r="I67" s="1"/>
      <c r="J67" s="5">
        <f t="shared" si="29"/>
        <v>1.2903494349518201E-3</v>
      </c>
      <c r="K67" s="1"/>
      <c r="L67" s="1">
        <f t="shared" si="30"/>
        <v>-460.09000000000003</v>
      </c>
      <c r="M67" s="1"/>
      <c r="N67" s="5">
        <f t="shared" si="31"/>
        <v>-1.4841612903225807</v>
      </c>
      <c r="O67" s="14"/>
      <c r="P67" s="1">
        <f>SUM(OSRRefP22_8x_0)</f>
        <v>3059.19</v>
      </c>
      <c r="Q67" s="1"/>
      <c r="R67" s="5">
        <f t="shared" si="32"/>
        <v>4.9861306489156019E-3</v>
      </c>
      <c r="S67" s="1"/>
      <c r="T67" s="1">
        <f>SUM(OSRRefT22_8x_0)</f>
        <v>930</v>
      </c>
      <c r="U67" s="1"/>
      <c r="V67" s="5">
        <f t="shared" si="33"/>
        <v>1.0401113925749468E-3</v>
      </c>
      <c r="W67" s="1"/>
      <c r="X67" s="1">
        <f t="shared" si="34"/>
        <v>2129.19</v>
      </c>
      <c r="Y67" s="1"/>
      <c r="Z67" s="5">
        <f t="shared" si="35"/>
        <v>2.2894516129032261</v>
      </c>
    </row>
    <row r="68" spans="1:26" s="24" customFormat="1" hidden="1" outlineLevel="2" x14ac:dyDescent="0.25">
      <c r="A68" s="29"/>
      <c r="B68" s="11" t="str">
        <f>CONCATENATE("          ", "6241", " - ", "OFFICE EXPENSE")</f>
        <v xml:space="preserve">          6241 - OFFICE EXPENSE</v>
      </c>
      <c r="C68" s="11"/>
      <c r="D68" s="7">
        <v>-150.09</v>
      </c>
      <c r="E68" s="2"/>
      <c r="F68" s="6">
        <f t="shared" si="28"/>
        <v>-8.5834376882398681E-4</v>
      </c>
      <c r="G68" s="2"/>
      <c r="H68" s="7">
        <v>110</v>
      </c>
      <c r="I68" s="2"/>
      <c r="J68" s="6">
        <f t="shared" si="29"/>
        <v>4.5786592853129098E-4</v>
      </c>
      <c r="K68" s="2"/>
      <c r="L68" s="7">
        <f t="shared" si="30"/>
        <v>-260.09000000000003</v>
      </c>
      <c r="M68" s="2"/>
      <c r="N68" s="6">
        <f t="shared" si="31"/>
        <v>-2.3644545454545458</v>
      </c>
      <c r="O68" s="11"/>
      <c r="P68" s="7">
        <v>147.19</v>
      </c>
      <c r="Q68" s="2"/>
      <c r="R68" s="6">
        <f t="shared" si="32"/>
        <v>2.3990290574102537E-4</v>
      </c>
      <c r="S68" s="2"/>
      <c r="T68" s="7">
        <v>330</v>
      </c>
      <c r="U68" s="2"/>
      <c r="V68" s="6">
        <f t="shared" si="33"/>
        <v>3.6907178446207787E-4</v>
      </c>
      <c r="W68" s="2"/>
      <c r="X68" s="7">
        <f t="shared" si="34"/>
        <v>-182.81</v>
      </c>
      <c r="Y68" s="2"/>
      <c r="Z68" s="6">
        <f t="shared" si="35"/>
        <v>-0.553969696969697</v>
      </c>
    </row>
    <row r="69" spans="1:26" s="24" customFormat="1" hidden="1" outlineLevel="2" x14ac:dyDescent="0.25">
      <c r="A69" s="29"/>
      <c r="B69" s="11" t="str">
        <f>CONCATENATE("          ", "6247", " - ", "STORE SUPPLIES")</f>
        <v xml:space="preserve">          6247 - STORE SUPPLIES</v>
      </c>
      <c r="C69" s="11"/>
      <c r="D69" s="7"/>
      <c r="E69" s="2"/>
      <c r="F69" s="6">
        <f t="shared" si="28"/>
        <v>0</v>
      </c>
      <c r="G69" s="2"/>
      <c r="H69" s="7">
        <v>200</v>
      </c>
      <c r="I69" s="2"/>
      <c r="J69" s="6">
        <f t="shared" si="29"/>
        <v>8.3248350642052907E-4</v>
      </c>
      <c r="K69" s="2"/>
      <c r="L69" s="7">
        <f t="shared" si="30"/>
        <v>-200</v>
      </c>
      <c r="M69" s="2"/>
      <c r="N69" s="6">
        <f t="shared" si="31"/>
        <v>-1</v>
      </c>
      <c r="O69" s="11"/>
      <c r="P69" s="7">
        <v>2912</v>
      </c>
      <c r="Q69" s="2"/>
      <c r="R69" s="6">
        <f t="shared" si="32"/>
        <v>4.746227743174577E-3</v>
      </c>
      <c r="S69" s="2"/>
      <c r="T69" s="7">
        <v>600</v>
      </c>
      <c r="U69" s="2"/>
      <c r="V69" s="6">
        <f t="shared" si="33"/>
        <v>6.7103960811286888E-4</v>
      </c>
      <c r="W69" s="2"/>
      <c r="X69" s="7">
        <f t="shared" si="34"/>
        <v>2312</v>
      </c>
      <c r="Y69" s="2"/>
      <c r="Z69" s="6">
        <f t="shared" si="35"/>
        <v>3.8533333333333335</v>
      </c>
    </row>
    <row r="70" spans="1:26" s="28" customFormat="1" outlineLevel="1" collapsed="1" x14ac:dyDescent="0.25">
      <c r="A70" s="27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SUM(OSRRefD22_9x_0)</f>
        <v>194.95</v>
      </c>
      <c r="E70" s="1"/>
      <c r="F70" s="5">
        <f t="shared" ref="F70:F71" si="36">IF(D$12=0,0,D70/D$12)</f>
        <v>1.1148918497717118E-3</v>
      </c>
      <c r="G70" s="1"/>
      <c r="H70" s="1">
        <f>SUM(OSRRefH22_9x_0)</f>
        <v>325</v>
      </c>
      <c r="I70" s="1"/>
      <c r="J70" s="5">
        <f t="shared" ref="J70:J71" si="37">IF(H$12=0,0,H70/H$12)</f>
        <v>1.3527856979333598E-3</v>
      </c>
      <c r="K70" s="1"/>
      <c r="L70" s="1">
        <f t="shared" ref="L70:L71" si="38">+D70-H70</f>
        <v>-130.05000000000001</v>
      </c>
      <c r="M70" s="1"/>
      <c r="N70" s="5">
        <f t="shared" ref="N70:N71" si="39">IF(H70=0,0,L70/H70)</f>
        <v>-0.40015384615384619</v>
      </c>
      <c r="O70" s="14"/>
      <c r="P70" s="1">
        <f>SUM(OSRRefP22_9x_0)</f>
        <v>646.45000000000005</v>
      </c>
      <c r="Q70" s="1"/>
      <c r="R70" s="5">
        <f t="shared" ref="R70:R71" si="40">IF(P$12=0,0,P70/P$12)</f>
        <v>1.0536397405821447E-3</v>
      </c>
      <c r="S70" s="1"/>
      <c r="T70" s="1">
        <f>SUM(OSRRefT22_9x_0)</f>
        <v>975</v>
      </c>
      <c r="U70" s="1"/>
      <c r="V70" s="5">
        <f t="shared" ref="V70:V71" si="41">IF(T$12=0,0,T70/T$12)</f>
        <v>1.0904393631834119E-3</v>
      </c>
      <c r="W70" s="1"/>
      <c r="X70" s="1">
        <f t="shared" ref="X70:X71" si="42">+P70-T70</f>
        <v>-328.54999999999995</v>
      </c>
      <c r="Y70" s="1"/>
      <c r="Z70" s="5">
        <f t="shared" ref="Z70:Z71" si="43">IF(T70=0,0,X70/T70)</f>
        <v>-0.3369743589743589</v>
      </c>
    </row>
    <row r="71" spans="1:26" s="24" customFormat="1" hidden="1" outlineLevel="2" x14ac:dyDescent="0.25">
      <c r="A71" s="29"/>
      <c r="B71" s="11" t="str">
        <f>CONCATENATE("          ", "6309", " - ", "TELEPHONE")</f>
        <v xml:space="preserve">          6309 - TELEPHONE</v>
      </c>
      <c r="C71" s="11"/>
      <c r="D71" s="7">
        <v>194.95</v>
      </c>
      <c r="E71" s="2"/>
      <c r="F71" s="6">
        <f t="shared" si="36"/>
        <v>1.1148918497717118E-3</v>
      </c>
      <c r="G71" s="2"/>
      <c r="H71" s="7">
        <v>325</v>
      </c>
      <c r="I71" s="2"/>
      <c r="J71" s="6">
        <f t="shared" si="37"/>
        <v>1.3527856979333598E-3</v>
      </c>
      <c r="K71" s="2"/>
      <c r="L71" s="7">
        <f t="shared" si="38"/>
        <v>-130.05000000000001</v>
      </c>
      <c r="M71" s="2"/>
      <c r="N71" s="6">
        <f t="shared" si="39"/>
        <v>-0.40015384615384619</v>
      </c>
      <c r="O71" s="11"/>
      <c r="P71" s="7">
        <v>646.45000000000005</v>
      </c>
      <c r="Q71" s="2"/>
      <c r="R71" s="6">
        <f t="shared" si="40"/>
        <v>1.0536397405821447E-3</v>
      </c>
      <c r="S71" s="2"/>
      <c r="T71" s="7">
        <v>975</v>
      </c>
      <c r="U71" s="2"/>
      <c r="V71" s="6">
        <f t="shared" si="41"/>
        <v>1.0904393631834119E-3</v>
      </c>
      <c r="W71" s="2"/>
      <c r="X71" s="7">
        <f t="shared" si="42"/>
        <v>-328.54999999999995</v>
      </c>
      <c r="Y71" s="2"/>
      <c r="Z71" s="6">
        <f t="shared" si="43"/>
        <v>-0.3369743589743589</v>
      </c>
    </row>
    <row r="72" spans="1:26" s="58" customFormat="1" x14ac:dyDescent="0.25">
      <c r="A72" s="36"/>
      <c r="B72" s="36"/>
      <c r="C72" s="36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6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collapsed="1" x14ac:dyDescent="0.25">
      <c r="A73" s="10"/>
      <c r="B73" s="26" t="s">
        <v>293</v>
      </c>
      <c r="C73" s="10"/>
      <c r="D73" s="4">
        <f>SUM(OSRRefD25x_0)</f>
        <v>390.11</v>
      </c>
      <c r="E73" s="4"/>
      <c r="F73" s="12">
        <f t="shared" ref="F73:F76" si="44">IF(D$12=0,0,D73/D$12)</f>
        <v>2.2309846602433575E-3</v>
      </c>
      <c r="G73" s="4"/>
      <c r="H73" s="4">
        <f>SUM(OSRRefH25x_0)</f>
        <v>2293</v>
      </c>
      <c r="I73" s="4"/>
      <c r="J73" s="12">
        <f t="shared" ref="J73:J76" si="45">IF(H$12=0,0,H73/H$12)</f>
        <v>9.5444234011113661E-3</v>
      </c>
      <c r="K73" s="4"/>
      <c r="L73" s="4">
        <f t="shared" ref="L73:L76" si="46">+D73-H73</f>
        <v>-1902.8899999999999</v>
      </c>
      <c r="M73" s="4"/>
      <c r="N73" s="12">
        <f t="shared" ref="N73:N76" si="47">IF(H73=0,0,L73/H73)</f>
        <v>-0.8298691670300915</v>
      </c>
      <c r="O73" s="10"/>
      <c r="P73" s="4">
        <f>SUM(OSRRefP25x_0)</f>
        <v>2771.44</v>
      </c>
      <c r="Q73" s="4"/>
      <c r="R73" s="12">
        <f t="shared" ref="R73:R76" si="48">IF(P$12=0,0,P73/P$12)</f>
        <v>4.5171309809559574E-3</v>
      </c>
      <c r="S73" s="4"/>
      <c r="T73" s="4">
        <f>SUM(OSRRefT25x_0)</f>
        <v>8533</v>
      </c>
      <c r="U73" s="4"/>
      <c r="V73" s="12">
        <f t="shared" ref="V73:V76" si="49">IF(T$12=0,0,T73/T$12)</f>
        <v>9.5433016267118496E-3</v>
      </c>
      <c r="W73" s="4"/>
      <c r="X73" s="4">
        <f t="shared" ref="X73:X76" si="50">+P73-T73</f>
        <v>-5761.5599999999995</v>
      </c>
      <c r="Y73" s="4"/>
      <c r="Z73" s="12">
        <f t="shared" ref="Z73:Z76" si="51">IF(T73=0,0,X73/T73)</f>
        <v>-0.67520918785890072</v>
      </c>
    </row>
    <row r="74" spans="1:26" s="24" customFormat="1" hidden="1" outlineLevel="1" x14ac:dyDescent="0.25">
      <c r="A74" s="44"/>
      <c r="B74" s="11" t="str">
        <f>CONCATENATE("          ", "4187", " - ", "NON-TAXABLE SALES-COMPUTER REP")</f>
        <v xml:space="preserve">          4187 - NON-TAXABLE SALES-COMPUTER REP</v>
      </c>
      <c r="C74" s="11"/>
      <c r="D74" s="2">
        <f>0</f>
        <v>0</v>
      </c>
      <c r="E74" s="2"/>
      <c r="F74" s="19">
        <f t="shared" si="44"/>
        <v>0</v>
      </c>
      <c r="G74" s="2"/>
      <c r="H74" s="2"/>
      <c r="I74" s="2"/>
      <c r="J74" s="19">
        <f t="shared" si="45"/>
        <v>0</v>
      </c>
      <c r="K74" s="2"/>
      <c r="L74" s="2">
        <f t="shared" si="46"/>
        <v>0</v>
      </c>
      <c r="M74" s="2"/>
      <c r="N74" s="19">
        <f t="shared" si="47"/>
        <v>0</v>
      </c>
      <c r="O74" s="11"/>
      <c r="P74" s="2">
        <f>0</f>
        <v>0</v>
      </c>
      <c r="Q74" s="2"/>
      <c r="R74" s="19">
        <f t="shared" si="48"/>
        <v>0</v>
      </c>
      <c r="S74" s="2"/>
      <c r="T74" s="2"/>
      <c r="U74" s="2"/>
      <c r="V74" s="19">
        <f t="shared" si="49"/>
        <v>0</v>
      </c>
      <c r="W74" s="2"/>
      <c r="X74" s="2">
        <f t="shared" si="50"/>
        <v>0</v>
      </c>
      <c r="Y74" s="2"/>
      <c r="Z74" s="19">
        <f t="shared" si="51"/>
        <v>0</v>
      </c>
    </row>
    <row r="75" spans="1:26" s="24" customFormat="1" hidden="1" outlineLevel="1" x14ac:dyDescent="0.25">
      <c r="A75" s="44"/>
      <c r="B75" s="11" t="str">
        <f>CONCATENATE("          ", "9087", " - ", "")</f>
        <v xml:space="preserve">          9087 - </v>
      </c>
      <c r="C75" s="11"/>
      <c r="D75" s="2">
        <f>-656.36</f>
        <v>-656.36</v>
      </c>
      <c r="E75" s="2"/>
      <c r="F75" s="19">
        <f t="shared" si="44"/>
        <v>-3.7536312619449127E-3</v>
      </c>
      <c r="G75" s="2"/>
      <c r="H75" s="2"/>
      <c r="I75" s="2"/>
      <c r="J75" s="19">
        <f t="shared" si="45"/>
        <v>0</v>
      </c>
      <c r="K75" s="2"/>
      <c r="L75" s="2">
        <f t="shared" si="46"/>
        <v>-656.36</v>
      </c>
      <c r="M75" s="2"/>
      <c r="N75" s="19">
        <f t="shared" si="47"/>
        <v>0</v>
      </c>
      <c r="O75" s="11"/>
      <c r="P75" s="2">
        <f>--363.65</f>
        <v>363.65</v>
      </c>
      <c r="Q75" s="2"/>
      <c r="R75" s="19">
        <f t="shared" si="48"/>
        <v>5.9270800783153658E-4</v>
      </c>
      <c r="S75" s="2"/>
      <c r="T75" s="2"/>
      <c r="U75" s="2"/>
      <c r="V75" s="19">
        <f t="shared" si="49"/>
        <v>0</v>
      </c>
      <c r="W75" s="2"/>
      <c r="X75" s="2">
        <f t="shared" si="50"/>
        <v>363.65</v>
      </c>
      <c r="Y75" s="2"/>
      <c r="Z75" s="19">
        <f t="shared" si="51"/>
        <v>0</v>
      </c>
    </row>
    <row r="76" spans="1:26" s="24" customFormat="1" hidden="1" outlineLevel="1" x14ac:dyDescent="0.25">
      <c r="A76" s="44"/>
      <c r="B76" s="11" t="str">
        <f>CONCATENATE("          ", "9150", " - ", "MISC. INCOME")</f>
        <v xml:space="preserve">          9150 - MISC. INCOME</v>
      </c>
      <c r="C76" s="11"/>
      <c r="D76" s="2">
        <f>--1046.47</f>
        <v>1046.47</v>
      </c>
      <c r="E76" s="2"/>
      <c r="F76" s="19">
        <f t="shared" si="44"/>
        <v>5.9846159221882706E-3</v>
      </c>
      <c r="G76" s="2"/>
      <c r="H76" s="2">
        <v>2293</v>
      </c>
      <c r="I76" s="2"/>
      <c r="J76" s="19">
        <f t="shared" si="45"/>
        <v>9.5444234011113661E-3</v>
      </c>
      <c r="K76" s="2"/>
      <c r="L76" s="2">
        <f t="shared" si="46"/>
        <v>-1246.53</v>
      </c>
      <c r="M76" s="2"/>
      <c r="N76" s="19">
        <f t="shared" si="47"/>
        <v>-0.54362407326646311</v>
      </c>
      <c r="O76" s="11"/>
      <c r="P76" s="2">
        <f>--2407.79</f>
        <v>2407.79</v>
      </c>
      <c r="Q76" s="2"/>
      <c r="R76" s="19">
        <f t="shared" si="48"/>
        <v>3.9244229731244208E-3</v>
      </c>
      <c r="S76" s="2"/>
      <c r="T76" s="2">
        <v>8533</v>
      </c>
      <c r="U76" s="2"/>
      <c r="V76" s="19">
        <f t="shared" si="49"/>
        <v>9.5433016267118496E-3</v>
      </c>
      <c r="W76" s="2"/>
      <c r="X76" s="2">
        <f t="shared" si="50"/>
        <v>-6125.21</v>
      </c>
      <c r="Y76" s="2"/>
      <c r="Z76" s="19">
        <f t="shared" si="51"/>
        <v>-0.71782608695652173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5" t="s">
        <v>277</v>
      </c>
      <c r="C78" s="25"/>
      <c r="D78" s="21">
        <f>+D30-D32+D73</f>
        <v>45781.109999999971</v>
      </c>
      <c r="E78" s="13"/>
      <c r="F78" s="20">
        <f>IF(D$12=0,0,D78/D$12)</f>
        <v>0.26181578052065752</v>
      </c>
      <c r="G78" s="13"/>
      <c r="H78" s="21">
        <f>+H30-H32+H73</f>
        <v>11890.25201513</v>
      </c>
      <c r="I78" s="13"/>
      <c r="J78" s="20">
        <f>IF(H$12=0,0,H78/H$12)</f>
        <v>4.9492193448895917E-2</v>
      </c>
      <c r="K78" s="16"/>
      <c r="L78" s="21">
        <f>+D78-H78</f>
        <v>33890.857984869974</v>
      </c>
      <c r="M78" s="16"/>
      <c r="N78" s="20">
        <f>IF(H78=0,0,L78/H78)</f>
        <v>2.8503061114049428</v>
      </c>
      <c r="O78" s="26"/>
      <c r="P78" s="21">
        <f>+P30-P32+P73</f>
        <v>81752.719999999856</v>
      </c>
      <c r="Q78" s="13"/>
      <c r="R78" s="20">
        <f>IF(P$12=0,0,P78/P$12)</f>
        <v>0.13324760568131264</v>
      </c>
      <c r="S78" s="13"/>
      <c r="T78" s="21">
        <f>+T30-T32+T73</f>
        <v>52150.2886691725</v>
      </c>
      <c r="U78" s="13"/>
      <c r="V78" s="20">
        <f>IF(T$12=0,0,T78/T$12)</f>
        <v>5.832484878589083E-2</v>
      </c>
      <c r="W78" s="16"/>
      <c r="X78" s="21">
        <f>+P78-T78</f>
        <v>29602.431330827356</v>
      </c>
      <c r="Y78" s="16"/>
      <c r="Z78" s="20">
        <f>IF(T78=0,0,X78/T78)</f>
        <v>0.56763696014450227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128</v>
      </c>
      <c r="C80" s="10"/>
      <c r="D80" s="4">
        <v>10388.01</v>
      </c>
      <c r="E80" s="4"/>
      <c r="F80" s="12">
        <f>IF(D$12=0,0,D80/D$12)</f>
        <v>5.9407579811987896E-2</v>
      </c>
      <c r="G80" s="4"/>
      <c r="H80" s="4">
        <v>23858</v>
      </c>
      <c r="I80" s="4"/>
      <c r="J80" s="12">
        <f>IF(H$12=0,0,H80/H$12)</f>
        <v>9.9306957480904914E-2</v>
      </c>
      <c r="K80" s="4"/>
      <c r="L80" s="4">
        <f>+D80-H80</f>
        <v>-13469.99</v>
      </c>
      <c r="M80" s="4"/>
      <c r="N80" s="12">
        <f>IF(H80=0,0,L80/H80)</f>
        <v>-0.56459007460809796</v>
      </c>
      <c r="O80" s="10"/>
      <c r="P80" s="4">
        <v>75941.279999999999</v>
      </c>
      <c r="Q80" s="4"/>
      <c r="R80" s="12">
        <f>IF(P$12=0,0,P80/P$12)</f>
        <v>0.12377562156187795</v>
      </c>
      <c r="S80" s="4"/>
      <c r="T80" s="4">
        <v>97090</v>
      </c>
      <c r="U80" s="4"/>
      <c r="V80" s="12">
        <f>IF(T$12=0,0,T80/T$12)</f>
        <v>0.10858539258613073</v>
      </c>
      <c r="W80" s="4"/>
      <c r="X80" s="4">
        <f>+P80-T80</f>
        <v>-21148.720000000001</v>
      </c>
      <c r="Y80" s="4"/>
      <c r="Z80" s="12">
        <f>IF(T80=0,0,X80/T80)</f>
        <v>-0.21782593469976311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5" t="s">
        <v>126</v>
      </c>
      <c r="C82" s="25"/>
      <c r="D82" s="33">
        <f>+D78-D80</f>
        <v>35393.099999999969</v>
      </c>
      <c r="E82" s="13"/>
      <c r="F82" s="31">
        <f>IF(D$12=0,0,D82/D$12)</f>
        <v>0.20240820070866961</v>
      </c>
      <c r="G82" s="13"/>
      <c r="H82" s="33">
        <f>+H78-H80</f>
        <v>-11967.74798487</v>
      </c>
      <c r="I82" s="13"/>
      <c r="J82" s="31">
        <f>IF(H$12=0,0,H82/H$12)</f>
        <v>-4.981476403200899E-2</v>
      </c>
      <c r="K82" s="16"/>
      <c r="L82" s="33">
        <f>D82-H82</f>
        <v>47360.847984869972</v>
      </c>
      <c r="M82" s="16"/>
      <c r="N82" s="31">
        <f>IF(H82=0,0,L82/H82)</f>
        <v>-3.957373437738247</v>
      </c>
      <c r="O82" s="26"/>
      <c r="P82" s="33">
        <f>+P78-P80</f>
        <v>5811.4399999998568</v>
      </c>
      <c r="Q82" s="13"/>
      <c r="R82" s="31">
        <f>IF(P$12=0,0,P82/P$12)</f>
        <v>9.4719841194346784E-3</v>
      </c>
      <c r="S82" s="13"/>
      <c r="T82" s="33">
        <f>+T78-T80</f>
        <v>-44939.7113308275</v>
      </c>
      <c r="U82" s="13"/>
      <c r="V82" s="31">
        <f>IF(T$12=0,0,T82/T$12)</f>
        <v>-5.02605438002399E-2</v>
      </c>
      <c r="W82" s="16"/>
      <c r="X82" s="33">
        <f>P82-T82</f>
        <v>50751.151330827357</v>
      </c>
      <c r="Y82" s="16"/>
      <c r="Z82" s="31">
        <f>IF(T82=0,0,X82/T82)</f>
        <v>-1.1293163624754607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5" t="s">
        <v>294</v>
      </c>
      <c r="C85" s="25"/>
      <c r="D85" s="35">
        <f>SUM(D82:D84)</f>
        <v>35393.099999999969</v>
      </c>
      <c r="E85" s="13"/>
      <c r="F85" s="34">
        <f>IF(D$12=0,0,D85/D$12)</f>
        <v>0.20240820070866961</v>
      </c>
      <c r="G85" s="13"/>
      <c r="H85" s="35">
        <f>SUM(H82:H84)</f>
        <v>-11967.74798487</v>
      </c>
      <c r="I85" s="13"/>
      <c r="J85" s="34">
        <f>IF(H$12=0,0,H85/H$12)</f>
        <v>-4.981476403200899E-2</v>
      </c>
      <c r="K85" s="16"/>
      <c r="L85" s="35">
        <f>+D85-H85</f>
        <v>47360.847984869972</v>
      </c>
      <c r="M85" s="16"/>
      <c r="N85" s="34">
        <f>IF(H85=0,0,L85/H85)</f>
        <v>-3.957373437738247</v>
      </c>
      <c r="O85" s="26"/>
      <c r="P85" s="35">
        <f>SUM(P82:P84)</f>
        <v>5811.4399999998568</v>
      </c>
      <c r="Q85" s="13"/>
      <c r="R85" s="34">
        <f>IF(P$12=0,0,P85/P$12)</f>
        <v>9.4719841194346784E-3</v>
      </c>
      <c r="S85" s="13"/>
      <c r="T85" s="35">
        <f>SUM(T82:T84)</f>
        <v>-44939.7113308275</v>
      </c>
      <c r="U85" s="13"/>
      <c r="V85" s="34">
        <f>IF(T$12=0,0,T85/T$12)</f>
        <v>-5.02605438002399E-2</v>
      </c>
      <c r="W85" s="16"/>
      <c r="X85" s="35">
        <f>+P85-T85</f>
        <v>50751.151330827357</v>
      </c>
      <c r="Y85" s="16"/>
      <c r="Z85" s="34">
        <f>IF(T85=0,0,X85/T85)</f>
        <v>-1.1293163624754607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61">
        <v>44481.978945104165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56" t="s">
        <v>56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4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","317", " - ", "Computer Store")</f>
        <v>Department 317 - Computer Store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174860.00999999998</v>
      </c>
      <c r="E12" s="4"/>
      <c r="F12" s="12"/>
      <c r="G12" s="4"/>
      <c r="H12" s="4">
        <f>SUM(OSRRefH13x_0)</f>
        <v>240245</v>
      </c>
      <c r="I12" s="4"/>
      <c r="J12" s="12"/>
      <c r="K12" s="4"/>
      <c r="L12" s="4">
        <f t="shared" ref="L12:L16" si="0">+D12-H12</f>
        <v>-65384.99000000002</v>
      </c>
      <c r="M12" s="4"/>
      <c r="N12" s="12">
        <f t="shared" ref="N12:N16" si="1">IF(H12=0,0,L12/H12)</f>
        <v>-0.27215962871235622</v>
      </c>
      <c r="O12" s="10"/>
      <c r="P12" s="4">
        <f>SUM(OSRRefP13x_0)</f>
        <v>613539.87999999989</v>
      </c>
      <c r="Q12" s="4"/>
      <c r="R12" s="12"/>
      <c r="S12" s="4"/>
      <c r="T12" s="4">
        <f>SUM(OSRRefT13x_0)</f>
        <v>894135</v>
      </c>
      <c r="U12" s="4"/>
      <c r="V12" s="12"/>
      <c r="W12" s="4"/>
      <c r="X12" s="4">
        <f t="shared" ref="X12:X16" si="2">+P12-T12</f>
        <v>-280595.12000000011</v>
      </c>
      <c r="Y12" s="4"/>
      <c r="Z12" s="12">
        <f t="shared" ref="Z12:Z16" si="3">IF(T12=0,0,X12/T12)</f>
        <v>-0.31381739893863914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--115763.59</f>
        <v>115763.59</v>
      </c>
      <c r="E13" s="2"/>
      <c r="F13" s="19"/>
      <c r="G13" s="2"/>
      <c r="H13" s="2">
        <v>226713</v>
      </c>
      <c r="I13" s="2"/>
      <c r="J13" s="19"/>
      <c r="K13" s="2"/>
      <c r="L13" s="2">
        <f t="shared" si="0"/>
        <v>-110949.41</v>
      </c>
      <c r="M13" s="2"/>
      <c r="N13" s="19">
        <f t="shared" si="1"/>
        <v>-0.48938265560422212</v>
      </c>
      <c r="O13" s="11"/>
      <c r="P13" s="2">
        <f>--497929.32</f>
        <v>497929.32</v>
      </c>
      <c r="Q13" s="2"/>
      <c r="R13" s="19"/>
      <c r="S13" s="2"/>
      <c r="T13" s="2">
        <v>850984</v>
      </c>
      <c r="U13" s="2"/>
      <c r="V13" s="19"/>
      <c r="W13" s="2"/>
      <c r="X13" s="2">
        <f t="shared" si="2"/>
        <v>-353054.68</v>
      </c>
      <c r="Y13" s="2"/>
      <c r="Z13" s="19">
        <f t="shared" si="3"/>
        <v>-0.41487816457183685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--79696.64</f>
        <v>79696.639999999999</v>
      </c>
      <c r="E14" s="2"/>
      <c r="F14" s="19"/>
      <c r="G14" s="2"/>
      <c r="H14" s="2">
        <v>13532</v>
      </c>
      <c r="I14" s="2"/>
      <c r="J14" s="19"/>
      <c r="K14" s="2"/>
      <c r="L14" s="2">
        <f t="shared" si="0"/>
        <v>66164.639999999999</v>
      </c>
      <c r="M14" s="2"/>
      <c r="N14" s="19">
        <f t="shared" si="1"/>
        <v>4.8894945314809339</v>
      </c>
      <c r="O14" s="11"/>
      <c r="P14" s="2">
        <f>--196474.52</f>
        <v>196474.52</v>
      </c>
      <c r="Q14" s="2"/>
      <c r="R14" s="19"/>
      <c r="S14" s="2"/>
      <c r="T14" s="2">
        <v>43151</v>
      </c>
      <c r="U14" s="2"/>
      <c r="V14" s="19"/>
      <c r="W14" s="2"/>
      <c r="X14" s="2">
        <f t="shared" si="2"/>
        <v>153323.51999999999</v>
      </c>
      <c r="Y14" s="2"/>
      <c r="Z14" s="19">
        <f t="shared" si="3"/>
        <v>3.5531857894370926</v>
      </c>
    </row>
    <row r="15" spans="1:26" s="24" customFormat="1" hidden="1" outlineLevel="1" x14ac:dyDescent="0.25">
      <c r="A15" s="44"/>
      <c r="B15" s="11" t="str">
        <f>CONCATENATE("          ", "4200", " - ", "TAXABLE RETURNS")</f>
        <v xml:space="preserve">          4200 - TAXABLE RETURNS</v>
      </c>
      <c r="C15" s="11"/>
      <c r="D15" s="2">
        <f>-20557.25</f>
        <v>-20557.25</v>
      </c>
      <c r="E15" s="2"/>
      <c r="F15" s="19"/>
      <c r="G15" s="2"/>
      <c r="H15" s="2"/>
      <c r="I15" s="2"/>
      <c r="J15" s="19"/>
      <c r="K15" s="2"/>
      <c r="L15" s="2">
        <f t="shared" si="0"/>
        <v>-20557.25</v>
      </c>
      <c r="M15" s="2"/>
      <c r="N15" s="19">
        <f t="shared" si="1"/>
        <v>0</v>
      </c>
      <c r="O15" s="11"/>
      <c r="P15" s="2">
        <f>-80174.16</f>
        <v>-80174.16</v>
      </c>
      <c r="Q15" s="2"/>
      <c r="R15" s="19"/>
      <c r="S15" s="2"/>
      <c r="T15" s="2"/>
      <c r="U15" s="2"/>
      <c r="V15" s="19"/>
      <c r="W15" s="2"/>
      <c r="X15" s="2">
        <f t="shared" si="2"/>
        <v>-80174.16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"4300", " - ", "NON-TAX RETURNS")</f>
        <v xml:space="preserve">          4300 - NON-TAX RETURNS</v>
      </c>
      <c r="C16" s="11"/>
      <c r="D16" s="2">
        <f>-42.97</f>
        <v>-42.97</v>
      </c>
      <c r="E16" s="2"/>
      <c r="F16" s="19"/>
      <c r="G16" s="2"/>
      <c r="H16" s="2"/>
      <c r="I16" s="2"/>
      <c r="J16" s="19"/>
      <c r="K16" s="2"/>
      <c r="L16" s="2">
        <f t="shared" si="0"/>
        <v>-42.97</v>
      </c>
      <c r="M16" s="2"/>
      <c r="N16" s="19">
        <f t="shared" si="1"/>
        <v>0</v>
      </c>
      <c r="O16" s="11"/>
      <c r="P16" s="2">
        <f>-689.8</f>
        <v>-689.8</v>
      </c>
      <c r="Q16" s="2"/>
      <c r="R16" s="19"/>
      <c r="S16" s="2"/>
      <c r="T16" s="2"/>
      <c r="U16" s="2"/>
      <c r="V16" s="19"/>
      <c r="W16" s="2"/>
      <c r="X16" s="2">
        <f t="shared" si="2"/>
        <v>-689.8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257</v>
      </c>
      <c r="C18" s="10"/>
      <c r="D18" s="4">
        <f>SUM(OSRRefD16x_0)</f>
        <v>117257.95000000001</v>
      </c>
      <c r="E18" s="4"/>
      <c r="F18" s="12">
        <f t="shared" ref="F18:F28" si="4">IF(D$12=0,0,D18/D$12)</f>
        <v>0.6705818557370552</v>
      </c>
      <c r="G18" s="4"/>
      <c r="H18" s="4">
        <f>SUM(OSRRefH16x_0)</f>
        <v>215019</v>
      </c>
      <c r="I18" s="4"/>
      <c r="J18" s="12">
        <f t="shared" ref="J18:J28" si="5">IF(H$12=0,0,H18/H$12)</f>
        <v>0.89499885533517864</v>
      </c>
      <c r="K18" s="4"/>
      <c r="L18" s="4">
        <f t="shared" ref="L18:L28" si="6">+D18-H18</f>
        <v>-97761.049999999988</v>
      </c>
      <c r="M18" s="4"/>
      <c r="N18" s="12">
        <f t="shared" ref="N18:N28" si="7">IF(H18=0,0,L18/H18)</f>
        <v>-0.4546623786735125</v>
      </c>
      <c r="O18" s="10"/>
      <c r="P18" s="4">
        <f>SUM(OSRRefP16x_0)</f>
        <v>491422.55000000005</v>
      </c>
      <c r="Q18" s="4"/>
      <c r="R18" s="12">
        <f t="shared" ref="R18:R28" si="8">IF(P$12=0,0,P18/P$12)</f>
        <v>0.80096268558777328</v>
      </c>
      <c r="S18" s="4"/>
      <c r="T18" s="4">
        <f>SUM(OSRRefT16x_0)</f>
        <v>800250</v>
      </c>
      <c r="U18" s="4"/>
      <c r="V18" s="12">
        <f t="shared" ref="V18:V28" si="9">IF(T$12=0,0,T18/T$12)</f>
        <v>0.89499907732053885</v>
      </c>
      <c r="W18" s="4"/>
      <c r="X18" s="4">
        <f t="shared" ref="X18:X28" si="10">+P18-T18</f>
        <v>-308827.44999999995</v>
      </c>
      <c r="Y18" s="4"/>
      <c r="Z18" s="12">
        <f t="shared" ref="Z18:Z28" si="11">IF(T18=0,0,X18/T18)</f>
        <v>-0.3859137144642299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169066.36</v>
      </c>
      <c r="E19" s="2"/>
      <c r="F19" s="19">
        <f t="shared" si="4"/>
        <v>0.96686692400395036</v>
      </c>
      <c r="G19" s="2"/>
      <c r="H19" s="2">
        <v>215019</v>
      </c>
      <c r="I19" s="2"/>
      <c r="J19" s="19">
        <f t="shared" si="5"/>
        <v>0.89499885533517864</v>
      </c>
      <c r="K19" s="2"/>
      <c r="L19" s="2">
        <f t="shared" si="6"/>
        <v>-45952.640000000014</v>
      </c>
      <c r="M19" s="2"/>
      <c r="N19" s="19">
        <f t="shared" si="7"/>
        <v>-0.21371432292030013</v>
      </c>
      <c r="O19" s="11"/>
      <c r="P19" s="2">
        <v>552202.23</v>
      </c>
      <c r="Q19" s="2"/>
      <c r="R19" s="19">
        <f t="shared" si="8"/>
        <v>0.90002662907584763</v>
      </c>
      <c r="S19" s="2"/>
      <c r="T19" s="2">
        <v>800250</v>
      </c>
      <c r="U19" s="2"/>
      <c r="V19" s="19">
        <f t="shared" si="9"/>
        <v>0.89499907732053885</v>
      </c>
      <c r="W19" s="2"/>
      <c r="X19" s="2">
        <f t="shared" si="10"/>
        <v>-248047.77000000002</v>
      </c>
      <c r="Y19" s="2"/>
      <c r="Z19" s="19">
        <f t="shared" si="11"/>
        <v>-0.30996284910965327</v>
      </c>
    </row>
    <row r="20" spans="1:26" s="24" customFormat="1" hidden="1" outlineLevel="1" x14ac:dyDescent="0.25">
      <c r="A20" s="44"/>
      <c r="B20" s="11" t="str">
        <f>CONCATENATE("          ", "5081", " - ", "PURCHASES @ COST-ELECTRONICS")</f>
        <v xml:space="preserve">          5081 - PURCHASES @ COST-ELECTRONICS</v>
      </c>
      <c r="C20" s="11"/>
      <c r="D20" s="2">
        <v>0</v>
      </c>
      <c r="E20" s="2"/>
      <c r="F20" s="19">
        <f t="shared" si="4"/>
        <v>0</v>
      </c>
      <c r="G20" s="2"/>
      <c r="H20" s="2"/>
      <c r="I20" s="2"/>
      <c r="J20" s="19">
        <f t="shared" si="5"/>
        <v>0</v>
      </c>
      <c r="K20" s="2"/>
      <c r="L20" s="2">
        <f t="shared" si="6"/>
        <v>0</v>
      </c>
      <c r="M20" s="2"/>
      <c r="N20" s="19">
        <f t="shared" si="7"/>
        <v>0</v>
      </c>
      <c r="O20" s="11"/>
      <c r="P20" s="2">
        <v>0</v>
      </c>
      <c r="Q20" s="2"/>
      <c r="R20" s="19">
        <f t="shared" si="8"/>
        <v>0</v>
      </c>
      <c r="S20" s="2"/>
      <c r="T20" s="2"/>
      <c r="U20" s="2"/>
      <c r="V20" s="19">
        <f t="shared" si="9"/>
        <v>0</v>
      </c>
      <c r="W20" s="2"/>
      <c r="X20" s="2">
        <f t="shared" si="10"/>
        <v>0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"5082", " - ", "PURCHASES @ COST-COMPUTER HARD")</f>
        <v xml:space="preserve">          5082 - PURCHASES @ COST-COMPUTER HARD</v>
      </c>
      <c r="C21" s="11"/>
      <c r="D21" s="2">
        <v>-22380.03</v>
      </c>
      <c r="E21" s="2"/>
      <c r="F21" s="19">
        <f t="shared" si="4"/>
        <v>-0.12798826901588306</v>
      </c>
      <c r="G21" s="2"/>
      <c r="H21" s="2"/>
      <c r="I21" s="2"/>
      <c r="J21" s="19">
        <f t="shared" si="5"/>
        <v>0</v>
      </c>
      <c r="K21" s="2"/>
      <c r="L21" s="2">
        <f t="shared" si="6"/>
        <v>-22380.03</v>
      </c>
      <c r="M21" s="2"/>
      <c r="N21" s="19">
        <f t="shared" si="7"/>
        <v>0</v>
      </c>
      <c r="O21" s="11"/>
      <c r="P21" s="2">
        <v>-56783.85</v>
      </c>
      <c r="Q21" s="2"/>
      <c r="R21" s="19">
        <f t="shared" si="8"/>
        <v>-9.2551196509019121E-2</v>
      </c>
      <c r="S21" s="2"/>
      <c r="T21" s="2"/>
      <c r="U21" s="2"/>
      <c r="V21" s="19">
        <f t="shared" si="9"/>
        <v>0</v>
      </c>
      <c r="W21" s="2"/>
      <c r="X21" s="2">
        <f t="shared" si="10"/>
        <v>-56783.85</v>
      </c>
      <c r="Y21" s="2"/>
      <c r="Z21" s="19">
        <f t="shared" si="11"/>
        <v>0</v>
      </c>
    </row>
    <row r="22" spans="1:26" s="24" customFormat="1" hidden="1" outlineLevel="1" x14ac:dyDescent="0.25">
      <c r="A22" s="44"/>
      <c r="B22" s="11" t="str">
        <f>CONCATENATE("          ", "5083", " - ", "PURCHASES @ COST-COMPUTER EQUI")</f>
        <v xml:space="preserve">          5083 - PURCHASES @ COST-COMPUTER EQUI</v>
      </c>
      <c r="C22" s="11"/>
      <c r="D22" s="2">
        <v>0</v>
      </c>
      <c r="E22" s="2"/>
      <c r="F22" s="19">
        <f t="shared" si="4"/>
        <v>0</v>
      </c>
      <c r="G22" s="2"/>
      <c r="H22" s="2"/>
      <c r="I22" s="2"/>
      <c r="J22" s="19">
        <f t="shared" si="5"/>
        <v>0</v>
      </c>
      <c r="K22" s="2"/>
      <c r="L22" s="2">
        <f t="shared" si="6"/>
        <v>0</v>
      </c>
      <c r="M22" s="2"/>
      <c r="N22" s="19">
        <f t="shared" si="7"/>
        <v>0</v>
      </c>
      <c r="O22" s="11"/>
      <c r="P22" s="2">
        <v>0</v>
      </c>
      <c r="Q22" s="2"/>
      <c r="R22" s="19">
        <f t="shared" si="8"/>
        <v>0</v>
      </c>
      <c r="S22" s="2"/>
      <c r="T22" s="2"/>
      <c r="U22" s="2"/>
      <c r="V22" s="19">
        <f t="shared" si="9"/>
        <v>0</v>
      </c>
      <c r="W22" s="2"/>
      <c r="X22" s="2">
        <f t="shared" si="10"/>
        <v>0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"5085", " - ", "PURCHASES @ COST-SOFTWARE")</f>
        <v xml:space="preserve">          5085 - PURCHASES @ COST-SOFTWARE</v>
      </c>
      <c r="C23" s="11"/>
      <c r="D23" s="2">
        <v>0</v>
      </c>
      <c r="E23" s="2"/>
      <c r="F23" s="19">
        <f t="shared" si="4"/>
        <v>0</v>
      </c>
      <c r="G23" s="2"/>
      <c r="H23" s="2"/>
      <c r="I23" s="2"/>
      <c r="J23" s="19">
        <f t="shared" si="5"/>
        <v>0</v>
      </c>
      <c r="K23" s="2"/>
      <c r="L23" s="2">
        <f t="shared" si="6"/>
        <v>0</v>
      </c>
      <c r="M23" s="2"/>
      <c r="N23" s="19">
        <f t="shared" si="7"/>
        <v>0</v>
      </c>
      <c r="O23" s="11"/>
      <c r="P23" s="2">
        <v>0</v>
      </c>
      <c r="Q23" s="2"/>
      <c r="R23" s="19">
        <f t="shared" si="8"/>
        <v>0</v>
      </c>
      <c r="S23" s="2"/>
      <c r="T23" s="2"/>
      <c r="U23" s="2"/>
      <c r="V23" s="19">
        <f t="shared" si="9"/>
        <v>0</v>
      </c>
      <c r="W23" s="2"/>
      <c r="X23" s="2">
        <f t="shared" si="10"/>
        <v>0</v>
      </c>
      <c r="Y23" s="2"/>
      <c r="Z23" s="19">
        <f t="shared" si="11"/>
        <v>0</v>
      </c>
    </row>
    <row r="24" spans="1:26" s="24" customFormat="1" hidden="1" outlineLevel="1" x14ac:dyDescent="0.25">
      <c r="A24" s="44"/>
      <c r="B24" s="11" t="str">
        <f>CONCATENATE("          ", "5086", " - ", "PURCHASES @ COST-COMPUTER SUPP")</f>
        <v xml:space="preserve">          5086 - PURCHASES @ COST-COMPUTER SUPP</v>
      </c>
      <c r="C24" s="11"/>
      <c r="D24" s="2">
        <v>0</v>
      </c>
      <c r="E24" s="2"/>
      <c r="F24" s="19">
        <f t="shared" si="4"/>
        <v>0</v>
      </c>
      <c r="G24" s="2"/>
      <c r="H24" s="2"/>
      <c r="I24" s="2"/>
      <c r="J24" s="19">
        <f t="shared" si="5"/>
        <v>0</v>
      </c>
      <c r="K24" s="2"/>
      <c r="L24" s="2">
        <f t="shared" si="6"/>
        <v>0</v>
      </c>
      <c r="M24" s="2"/>
      <c r="N24" s="19">
        <f t="shared" si="7"/>
        <v>0</v>
      </c>
      <c r="O24" s="11"/>
      <c r="P24" s="2">
        <v>0</v>
      </c>
      <c r="Q24" s="2"/>
      <c r="R24" s="19">
        <f t="shared" si="8"/>
        <v>0</v>
      </c>
      <c r="S24" s="2"/>
      <c r="T24" s="2"/>
      <c r="U24" s="2"/>
      <c r="V24" s="19">
        <f t="shared" si="9"/>
        <v>0</v>
      </c>
      <c r="W24" s="2"/>
      <c r="X24" s="2">
        <f t="shared" si="10"/>
        <v>0</v>
      </c>
      <c r="Y24" s="2"/>
      <c r="Z24" s="19">
        <f t="shared" si="11"/>
        <v>0</v>
      </c>
    </row>
    <row r="25" spans="1:26" s="24" customFormat="1" hidden="1" outlineLevel="1" x14ac:dyDescent="0.25">
      <c r="A25" s="44"/>
      <c r="B25" s="11" t="str">
        <f>CONCATENATE("          ", "5200", " - ", "PURCHASES OFFSET")</f>
        <v xml:space="preserve">          5200 - PURCHASES OFFSET</v>
      </c>
      <c r="C25" s="11"/>
      <c r="D25" s="2">
        <v>-169066.36</v>
      </c>
      <c r="E25" s="2"/>
      <c r="F25" s="19">
        <f t="shared" si="4"/>
        <v>-0.96686692400395036</v>
      </c>
      <c r="G25" s="2"/>
      <c r="H25" s="2"/>
      <c r="I25" s="2"/>
      <c r="J25" s="19">
        <f t="shared" si="5"/>
        <v>0</v>
      </c>
      <c r="K25" s="2"/>
      <c r="L25" s="2">
        <f t="shared" si="6"/>
        <v>-169066.36</v>
      </c>
      <c r="M25" s="2"/>
      <c r="N25" s="19">
        <f t="shared" si="7"/>
        <v>0</v>
      </c>
      <c r="O25" s="11"/>
      <c r="P25" s="2">
        <v>-552237.88</v>
      </c>
      <c r="Q25" s="2"/>
      <c r="R25" s="19">
        <f t="shared" si="8"/>
        <v>-0.9000847345082118</v>
      </c>
      <c r="S25" s="2"/>
      <c r="T25" s="2"/>
      <c r="U25" s="2"/>
      <c r="V25" s="19">
        <f t="shared" si="9"/>
        <v>0</v>
      </c>
      <c r="W25" s="2"/>
      <c r="X25" s="2">
        <f t="shared" si="10"/>
        <v>-552237.88</v>
      </c>
      <c r="Y25" s="2"/>
      <c r="Z25" s="19">
        <f t="shared" si="11"/>
        <v>0</v>
      </c>
    </row>
    <row r="26" spans="1:26" s="24" customFormat="1" hidden="1" outlineLevel="1" x14ac:dyDescent="0.25">
      <c r="A26" s="44"/>
      <c r="B26" s="11" t="str">
        <f>CONCATENATE("          ", "5300", " - ", "COG$ OFFSET")</f>
        <v xml:space="preserve">          5300 - COG$ OFFSET</v>
      </c>
      <c r="C26" s="11"/>
      <c r="D26" s="2">
        <v>139637.98000000001</v>
      </c>
      <c r="E26" s="2"/>
      <c r="F26" s="19">
        <f t="shared" si="4"/>
        <v>0.7985701247529382</v>
      </c>
      <c r="G26" s="2"/>
      <c r="H26" s="2"/>
      <c r="I26" s="2"/>
      <c r="J26" s="19">
        <f t="shared" si="5"/>
        <v>0</v>
      </c>
      <c r="K26" s="2"/>
      <c r="L26" s="2">
        <f t="shared" si="6"/>
        <v>139637.98000000001</v>
      </c>
      <c r="M26" s="2"/>
      <c r="N26" s="19">
        <f t="shared" si="7"/>
        <v>0</v>
      </c>
      <c r="O26" s="11"/>
      <c r="P26" s="2">
        <v>548206.4</v>
      </c>
      <c r="Q26" s="2"/>
      <c r="R26" s="19">
        <f t="shared" si="8"/>
        <v>0.89351388209679239</v>
      </c>
      <c r="S26" s="2"/>
      <c r="T26" s="2"/>
      <c r="U26" s="2"/>
      <c r="V26" s="19">
        <f t="shared" si="9"/>
        <v>0</v>
      </c>
      <c r="W26" s="2"/>
      <c r="X26" s="2">
        <f t="shared" si="10"/>
        <v>548206.4</v>
      </c>
      <c r="Y26" s="2"/>
      <c r="Z26" s="19">
        <f t="shared" si="11"/>
        <v>0</v>
      </c>
    </row>
    <row r="27" spans="1:26" s="24" customFormat="1" hidden="1" outlineLevel="1" x14ac:dyDescent="0.25">
      <c r="A27" s="44"/>
      <c r="B27" s="11" t="str">
        <f>CONCATENATE("          ", "5500", " - ", "FREIGHT-IN")</f>
        <v xml:space="preserve">          5500 - FREIGHT-IN</v>
      </c>
      <c r="C27" s="11"/>
      <c r="D27" s="2"/>
      <c r="E27" s="2"/>
      <c r="F27" s="19">
        <f t="shared" si="4"/>
        <v>0</v>
      </c>
      <c r="G27" s="2"/>
      <c r="H27" s="2"/>
      <c r="I27" s="2"/>
      <c r="J27" s="19">
        <f t="shared" si="5"/>
        <v>0</v>
      </c>
      <c r="K27" s="2"/>
      <c r="L27" s="2">
        <f t="shared" si="6"/>
        <v>0</v>
      </c>
      <c r="M27" s="2"/>
      <c r="N27" s="19">
        <f t="shared" si="7"/>
        <v>0</v>
      </c>
      <c r="O27" s="11"/>
      <c r="P27" s="2">
        <v>35.65</v>
      </c>
      <c r="Q27" s="2"/>
      <c r="R27" s="19">
        <f t="shared" si="8"/>
        <v>5.8105432364070619E-5</v>
      </c>
      <c r="S27" s="2"/>
      <c r="T27" s="2"/>
      <c r="U27" s="2"/>
      <c r="V27" s="19">
        <f t="shared" si="9"/>
        <v>0</v>
      </c>
      <c r="W27" s="2"/>
      <c r="X27" s="2">
        <f t="shared" si="10"/>
        <v>35.65</v>
      </c>
      <c r="Y27" s="2"/>
      <c r="Z27" s="19">
        <f t="shared" si="11"/>
        <v>0</v>
      </c>
    </row>
    <row r="28" spans="1:26" s="24" customFormat="1" hidden="1" outlineLevel="1" x14ac:dyDescent="0.25">
      <c r="A28" s="44"/>
      <c r="B28" s="11" t="str">
        <f>CONCATENATE("          ", "5583", " - ", "FREIGHT-IN-COMPUTER EQUIPMENT")</f>
        <v xml:space="preserve">          5583 - FREIGHT-IN-COMPUTER EQUIPMENT</v>
      </c>
      <c r="C28" s="11"/>
      <c r="D28" s="2"/>
      <c r="E28" s="2"/>
      <c r="F28" s="19">
        <f t="shared" si="4"/>
        <v>0</v>
      </c>
      <c r="G28" s="2"/>
      <c r="H28" s="2"/>
      <c r="I28" s="2"/>
      <c r="J28" s="19">
        <f t="shared" si="5"/>
        <v>0</v>
      </c>
      <c r="K28" s="2"/>
      <c r="L28" s="2">
        <f t="shared" si="6"/>
        <v>0</v>
      </c>
      <c r="M28" s="2"/>
      <c r="N28" s="19">
        <f t="shared" si="7"/>
        <v>0</v>
      </c>
      <c r="O28" s="11"/>
      <c r="P28" s="2">
        <v>0</v>
      </c>
      <c r="Q28" s="2"/>
      <c r="R28" s="19">
        <f t="shared" si="8"/>
        <v>0</v>
      </c>
      <c r="S28" s="2"/>
      <c r="T28" s="2"/>
      <c r="U28" s="2"/>
      <c r="V28" s="19">
        <f t="shared" si="9"/>
        <v>0</v>
      </c>
      <c r="W28" s="2"/>
      <c r="X28" s="2">
        <f t="shared" si="10"/>
        <v>0</v>
      </c>
      <c r="Y28" s="2"/>
      <c r="Z28" s="19">
        <f t="shared" si="11"/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5" t="s">
        <v>108</v>
      </c>
      <c r="C30" s="25"/>
      <c r="D30" s="21">
        <f>D12-D18</f>
        <v>57602.059999999969</v>
      </c>
      <c r="E30" s="13"/>
      <c r="F30" s="20">
        <f>IF(D$12=0,0,D30/D$12)</f>
        <v>0.3294181442629448</v>
      </c>
      <c r="G30" s="13"/>
      <c r="H30" s="21">
        <f>H12-H18</f>
        <v>25226</v>
      </c>
      <c r="I30" s="13"/>
      <c r="J30" s="20">
        <f>IF(H$12=0,0,H30/H$12)</f>
        <v>0.10500114466482133</v>
      </c>
      <c r="K30" s="16"/>
      <c r="L30" s="21">
        <f>+D30-H30</f>
        <v>32376.059999999969</v>
      </c>
      <c r="M30" s="16"/>
      <c r="N30" s="20">
        <f>IF(H30=0,0,L30/H30)</f>
        <v>1.283440101482596</v>
      </c>
      <c r="O30" s="26"/>
      <c r="P30" s="21">
        <f>P12-P18</f>
        <v>122117.32999999984</v>
      </c>
      <c r="Q30" s="13"/>
      <c r="R30" s="20">
        <f>IF(P$12=0,0,P30/P$12)</f>
        <v>0.19903731441222675</v>
      </c>
      <c r="S30" s="13"/>
      <c r="T30" s="21">
        <f>T12-T18</f>
        <v>93885</v>
      </c>
      <c r="U30" s="13"/>
      <c r="V30" s="20">
        <f>IF(T$12=0,0,T30/T$12)</f>
        <v>0.10500092267946115</v>
      </c>
      <c r="W30" s="16"/>
      <c r="X30" s="21">
        <f>+P30-T30</f>
        <v>28232.329999999842</v>
      </c>
      <c r="Y30" s="16"/>
      <c r="Z30" s="20">
        <f>IF(T30=0,0,X30/T30)</f>
        <v>0.3007118283005788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6" t="s">
        <v>295</v>
      </c>
      <c r="C32" s="10"/>
      <c r="D32" s="22">
        <f>SUM(OSRRefD22x_0)</f>
        <v>12211.060000000001</v>
      </c>
      <c r="E32" s="22"/>
      <c r="F32" s="32">
        <f t="shared" ref="F32:F43" si="12">IF(D$12=0,0,D32/D$12)</f>
        <v>6.9833348402530707E-2</v>
      </c>
      <c r="G32" s="22"/>
      <c r="H32" s="22">
        <f>SUM(OSRRefH22x_0)</f>
        <v>15628.74798487</v>
      </c>
      <c r="I32" s="22"/>
      <c r="J32" s="32">
        <f t="shared" ref="J32:J43" si="13">IF(H$12=0,0,H32/H$12)</f>
        <v>6.505337461703678E-2</v>
      </c>
      <c r="K32" s="4"/>
      <c r="L32" s="22">
        <f t="shared" ref="L32:L43" si="14">+D32-H32</f>
        <v>-3417.6879848699991</v>
      </c>
      <c r="M32" s="4"/>
      <c r="N32" s="32">
        <f t="shared" ref="N32:N43" si="15">IF(H32=0,0,L32/H32)</f>
        <v>-0.2186795761361448</v>
      </c>
      <c r="O32" s="10"/>
      <c r="P32" s="22">
        <f>SUM(OSRRefP22x_0)</f>
        <v>43136.049999999996</v>
      </c>
      <c r="Q32" s="22"/>
      <c r="R32" s="32">
        <f t="shared" ref="R32:R43" si="16">IF(P$12=0,0,P32/P$12)</f>
        <v>7.0306839711870087E-2</v>
      </c>
      <c r="S32" s="22"/>
      <c r="T32" s="22">
        <f>SUM(OSRRefT22x_0)</f>
        <v>50267.7113308275</v>
      </c>
      <c r="U32" s="22"/>
      <c r="V32" s="32">
        <f t="shared" ref="V32:V43" si="17">IF(T$12=0,0,T32/T$12)</f>
        <v>5.6219375520282173E-2</v>
      </c>
      <c r="W32" s="4"/>
      <c r="X32" s="22">
        <f t="shared" ref="X32:X43" si="18">+P32-T32</f>
        <v>-7131.6613308275046</v>
      </c>
      <c r="Y32" s="4"/>
      <c r="Z32" s="32">
        <f t="shared" ref="Z32:Z43" si="19">IF(T32=0,0,X32/T32)</f>
        <v>-0.14187360319414216</v>
      </c>
    </row>
    <row r="33" spans="1:26" s="28" customFormat="1" outlineLevel="1" collapsed="1" x14ac:dyDescent="0.25">
      <c r="A33" s="27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SUM(OSRRefD22_0x_0)</f>
        <v>1500.14</v>
      </c>
      <c r="E33" s="1"/>
      <c r="F33" s="5">
        <f t="shared" si="12"/>
        <v>8.5790913542782045E-3</v>
      </c>
      <c r="G33" s="1"/>
      <c r="H33" s="1">
        <f>SUM(OSRRefH22_0x_0)</f>
        <v>2603.1974348700001</v>
      </c>
      <c r="I33" s="1"/>
      <c r="J33" s="5">
        <f t="shared" si="13"/>
        <v>1.0835594642427521E-2</v>
      </c>
      <c r="K33" s="1"/>
      <c r="L33" s="1">
        <f t="shared" si="14"/>
        <v>-1103.05743487</v>
      </c>
      <c r="M33" s="1"/>
      <c r="N33" s="5">
        <f t="shared" si="15"/>
        <v>-0.4237317615999745</v>
      </c>
      <c r="O33" s="14"/>
      <c r="P33" s="1">
        <f>SUM(OSRRefP22_0x_0)</f>
        <v>4659.37</v>
      </c>
      <c r="Q33" s="1"/>
      <c r="R33" s="5">
        <f t="shared" si="16"/>
        <v>7.5942414696824612E-3</v>
      </c>
      <c r="S33" s="1"/>
      <c r="T33" s="1">
        <f>SUM(OSRRefT22_0x_0)</f>
        <v>9001.6720433274986</v>
      </c>
      <c r="U33" s="1"/>
      <c r="V33" s="5">
        <f t="shared" si="17"/>
        <v>1.0067464133858421E-2</v>
      </c>
      <c r="W33" s="1"/>
      <c r="X33" s="1">
        <f t="shared" si="18"/>
        <v>-4342.3020433274987</v>
      </c>
      <c r="Y33" s="1"/>
      <c r="Z33" s="5">
        <f t="shared" si="19"/>
        <v>-0.48238838544959389</v>
      </c>
    </row>
    <row r="34" spans="1:26" s="24" customFormat="1" hidden="1" outlineLevel="2" x14ac:dyDescent="0.25">
      <c r="A34" s="29"/>
      <c r="B34" s="11" t="str">
        <f>CONCATENATE("          ", "6111", " - ", "F.I.C.A.")</f>
        <v xml:space="preserve">          6111 - F.I.C.A.</v>
      </c>
      <c r="C34" s="11"/>
      <c r="D34" s="7">
        <v>548.86</v>
      </c>
      <c r="E34" s="2"/>
      <c r="F34" s="6">
        <f t="shared" si="12"/>
        <v>3.1388537607884162E-3</v>
      </c>
      <c r="G34" s="2"/>
      <c r="H34" s="7">
        <v>457.37151956999998</v>
      </c>
      <c r="I34" s="2"/>
      <c r="J34" s="6">
        <f t="shared" si="13"/>
        <v>1.9037712317425961E-3</v>
      </c>
      <c r="K34" s="2"/>
      <c r="L34" s="7">
        <f t="shared" si="14"/>
        <v>91.488480430000038</v>
      </c>
      <c r="M34" s="2"/>
      <c r="N34" s="6">
        <f t="shared" si="15"/>
        <v>0.20003099562476775</v>
      </c>
      <c r="O34" s="11"/>
      <c r="P34" s="7">
        <v>1609.1</v>
      </c>
      <c r="Q34" s="2"/>
      <c r="R34" s="6">
        <f t="shared" si="16"/>
        <v>2.6226494030021329E-3</v>
      </c>
      <c r="S34" s="2"/>
      <c r="T34" s="7">
        <v>2265.2267186025001</v>
      </c>
      <c r="U34" s="2"/>
      <c r="V34" s="6">
        <f t="shared" si="17"/>
        <v>2.5334280825630357E-3</v>
      </c>
      <c r="W34" s="2"/>
      <c r="X34" s="7">
        <f t="shared" si="18"/>
        <v>-656.1267186025002</v>
      </c>
      <c r="Y34" s="2"/>
      <c r="Z34" s="6">
        <f t="shared" si="19"/>
        <v>-0.28965167734172248</v>
      </c>
    </row>
    <row r="35" spans="1:26" s="24" customFormat="1" hidden="1" outlineLevel="2" x14ac:dyDescent="0.25">
      <c r="A35" s="29"/>
      <c r="B35" s="11" t="str">
        <f>CONCATENATE("          ", "6112", " - ", "COMPENSATION INSURANCE")</f>
        <v xml:space="preserve">          6112 - COMPENSATION INSURANCE</v>
      </c>
      <c r="C35" s="11"/>
      <c r="D35" s="7">
        <v>135.76</v>
      </c>
      <c r="E35" s="2"/>
      <c r="F35" s="6">
        <f t="shared" si="12"/>
        <v>7.7639249820470675E-4</v>
      </c>
      <c r="G35" s="2"/>
      <c r="H35" s="7">
        <v>173.5401564</v>
      </c>
      <c r="I35" s="2"/>
      <c r="J35" s="6">
        <f t="shared" si="13"/>
        <v>7.2234658952319503E-4</v>
      </c>
      <c r="K35" s="2"/>
      <c r="L35" s="7">
        <f t="shared" si="14"/>
        <v>-37.78015640000001</v>
      </c>
      <c r="M35" s="2"/>
      <c r="N35" s="6">
        <f t="shared" si="15"/>
        <v>-0.21770267575948785</v>
      </c>
      <c r="O35" s="11"/>
      <c r="P35" s="7">
        <v>425.95</v>
      </c>
      <c r="Q35" s="2"/>
      <c r="R35" s="6">
        <f t="shared" si="16"/>
        <v>6.9424989945233886E-4</v>
      </c>
      <c r="S35" s="2"/>
      <c r="T35" s="7">
        <v>542.05630829999996</v>
      </c>
      <c r="U35" s="2"/>
      <c r="V35" s="6">
        <f t="shared" si="17"/>
        <v>6.0623542116123403E-4</v>
      </c>
      <c r="W35" s="2"/>
      <c r="X35" s="7">
        <f t="shared" si="18"/>
        <v>-116.10630829999997</v>
      </c>
      <c r="Y35" s="2"/>
      <c r="Z35" s="6">
        <f t="shared" si="19"/>
        <v>-0.21419602820255559</v>
      </c>
    </row>
    <row r="36" spans="1:26" s="24" customFormat="1" hidden="1" outlineLevel="2" x14ac:dyDescent="0.25">
      <c r="A36" s="29"/>
      <c r="B36" s="11" t="str">
        <f>CONCATENATE("          ", "6113", " - ", "GROUP INSURANCE")</f>
        <v xml:space="preserve">          6113 - GROUP INSURANCE</v>
      </c>
      <c r="C36" s="11"/>
      <c r="D36" s="7">
        <v>194.97</v>
      </c>
      <c r="E36" s="2"/>
      <c r="F36" s="6">
        <f t="shared" si="12"/>
        <v>1.1150062269812294E-3</v>
      </c>
      <c r="G36" s="2"/>
      <c r="H36" s="7">
        <v>943.5</v>
      </c>
      <c r="I36" s="2"/>
      <c r="J36" s="6">
        <f t="shared" si="13"/>
        <v>3.9272409415388454E-3</v>
      </c>
      <c r="K36" s="2"/>
      <c r="L36" s="7">
        <f t="shared" si="14"/>
        <v>-748.53</v>
      </c>
      <c r="M36" s="2"/>
      <c r="N36" s="6">
        <f t="shared" si="15"/>
        <v>-0.79335453100158981</v>
      </c>
      <c r="O36" s="11"/>
      <c r="P36" s="7">
        <v>1188.8900000000001</v>
      </c>
      <c r="Q36" s="2"/>
      <c r="R36" s="6">
        <f t="shared" si="16"/>
        <v>1.9377550486204748E-3</v>
      </c>
      <c r="S36" s="2"/>
      <c r="T36" s="7">
        <v>2983.5</v>
      </c>
      <c r="U36" s="2"/>
      <c r="V36" s="6">
        <f t="shared" si="17"/>
        <v>3.3367444513412404E-3</v>
      </c>
      <c r="W36" s="2"/>
      <c r="X36" s="7">
        <f t="shared" si="18"/>
        <v>-1794.61</v>
      </c>
      <c r="Y36" s="2"/>
      <c r="Z36" s="6">
        <f t="shared" si="19"/>
        <v>-0.60151164739400032</v>
      </c>
    </row>
    <row r="37" spans="1:26" s="24" customFormat="1" hidden="1" outlineLevel="2" x14ac:dyDescent="0.25">
      <c r="A37" s="29"/>
      <c r="B37" s="11" t="str">
        <f>CONCATENATE("          ", "6114", " - ", "STATE UNEMPLOYMENT INSURANCE")</f>
        <v xml:space="preserve">          6114 - STATE UNEMPLOYMENT INSURANCE</v>
      </c>
      <c r="C37" s="11"/>
      <c r="D37" s="7">
        <v>23.85</v>
      </c>
      <c r="E37" s="2"/>
      <c r="F37" s="6">
        <f t="shared" si="12"/>
        <v>1.3639482234960415E-4</v>
      </c>
      <c r="G37" s="2"/>
      <c r="H37" s="7">
        <v>23.361174900000002</v>
      </c>
      <c r="I37" s="2"/>
      <c r="J37" s="6">
        <f t="shared" si="13"/>
        <v>9.7238963974276263E-5</v>
      </c>
      <c r="K37" s="2"/>
      <c r="L37" s="7">
        <f t="shared" si="14"/>
        <v>0.48882509999999968</v>
      </c>
      <c r="M37" s="2"/>
      <c r="N37" s="6">
        <f t="shared" si="15"/>
        <v>2.0924679605904568E-2</v>
      </c>
      <c r="O37" s="11"/>
      <c r="P37" s="7">
        <v>74.83</v>
      </c>
      <c r="Q37" s="2"/>
      <c r="R37" s="6">
        <f t="shared" si="16"/>
        <v>1.2196436195801976E-4</v>
      </c>
      <c r="S37" s="2"/>
      <c r="T37" s="7">
        <v>72.969118425000005</v>
      </c>
      <c r="U37" s="2"/>
      <c r="V37" s="6">
        <f t="shared" si="17"/>
        <v>8.16086143870892E-5</v>
      </c>
      <c r="W37" s="2"/>
      <c r="X37" s="7">
        <f t="shared" si="18"/>
        <v>1.8608815749999934</v>
      </c>
      <c r="Y37" s="2"/>
      <c r="Z37" s="6">
        <f t="shared" si="19"/>
        <v>2.5502316804233656E-2</v>
      </c>
    </row>
    <row r="38" spans="1:26" s="24" customFormat="1" hidden="1" outlineLevel="2" x14ac:dyDescent="0.25">
      <c r="A38" s="29"/>
      <c r="B38" s="11" t="str">
        <f>CONCATENATE("          ", "6115", " - ", "P.E.R.S.")</f>
        <v xml:space="preserve">          6115 - P.E.R.S.</v>
      </c>
      <c r="C38" s="11"/>
      <c r="D38" s="7">
        <v>99.25</v>
      </c>
      <c r="E38" s="2"/>
      <c r="F38" s="6">
        <f t="shared" si="12"/>
        <v>5.6759690223053298E-4</v>
      </c>
      <c r="G38" s="2"/>
      <c r="H38" s="7">
        <v>202.166134</v>
      </c>
      <c r="I38" s="2"/>
      <c r="J38" s="6">
        <f t="shared" si="13"/>
        <v>8.4149986055901272E-4</v>
      </c>
      <c r="K38" s="2"/>
      <c r="L38" s="7">
        <f t="shared" si="14"/>
        <v>-102.916134</v>
      </c>
      <c r="M38" s="2"/>
      <c r="N38" s="6">
        <f t="shared" si="15"/>
        <v>-0.50906713188668884</v>
      </c>
      <c r="O38" s="11"/>
      <c r="P38" s="7">
        <v>332.4</v>
      </c>
      <c r="Q38" s="2"/>
      <c r="R38" s="6">
        <f t="shared" si="16"/>
        <v>5.4177407343105396E-4</v>
      </c>
      <c r="S38" s="2"/>
      <c r="T38" s="7">
        <v>657.03993549999996</v>
      </c>
      <c r="U38" s="2"/>
      <c r="V38" s="6">
        <f t="shared" si="17"/>
        <v>7.348330347207077E-4</v>
      </c>
      <c r="W38" s="2"/>
      <c r="X38" s="7">
        <f t="shared" si="18"/>
        <v>-324.63993549999998</v>
      </c>
      <c r="Y38" s="2"/>
      <c r="Z38" s="6">
        <f t="shared" si="19"/>
        <v>-0.49409467820696873</v>
      </c>
    </row>
    <row r="39" spans="1:26" s="24" customFormat="1" hidden="1" outlineLevel="2" x14ac:dyDescent="0.25">
      <c r="A39" s="29"/>
      <c r="B39" s="11" t="str">
        <f>CONCATENATE("          ", "6116", " - ", "EDUCATIONAL BENEFITS")</f>
        <v xml:space="preserve">          6116 - EDUCATIONAL BENEFITS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9"/>
      <c r="B40" s="11" t="str">
        <f>CONCATENATE("          ", "6117", " - ", "RETIREMENT STAFF HOURLY")</f>
        <v xml:space="preserve">          6117 - RETIREMENT STAFF HOURLY</v>
      </c>
      <c r="C40" s="11"/>
      <c r="D40" s="7">
        <v>60</v>
      </c>
      <c r="E40" s="2"/>
      <c r="F40" s="6">
        <f t="shared" si="12"/>
        <v>3.4313162855246322E-4</v>
      </c>
      <c r="G40" s="2"/>
      <c r="H40" s="7"/>
      <c r="I40" s="2"/>
      <c r="J40" s="6">
        <f t="shared" si="13"/>
        <v>0</v>
      </c>
      <c r="K40" s="2"/>
      <c r="L40" s="7">
        <f t="shared" si="14"/>
        <v>60</v>
      </c>
      <c r="M40" s="2"/>
      <c r="N40" s="6">
        <f t="shared" si="15"/>
        <v>0</v>
      </c>
      <c r="O40" s="11"/>
      <c r="P40" s="7">
        <v>282.7</v>
      </c>
      <c r="Q40" s="2"/>
      <c r="R40" s="6">
        <f t="shared" si="16"/>
        <v>4.6076874416052635E-4</v>
      </c>
      <c r="S40" s="2"/>
      <c r="T40" s="7"/>
      <c r="U40" s="2"/>
      <c r="V40" s="6">
        <f t="shared" si="17"/>
        <v>0</v>
      </c>
      <c r="W40" s="2"/>
      <c r="X40" s="7">
        <f t="shared" si="18"/>
        <v>282.7</v>
      </c>
      <c r="Y40" s="2"/>
      <c r="Z40" s="6">
        <f t="shared" si="19"/>
        <v>0</v>
      </c>
    </row>
    <row r="41" spans="1:26" s="24" customFormat="1" hidden="1" outlineLevel="2" x14ac:dyDescent="0.25">
      <c r="A41" s="29"/>
      <c r="B41" s="11" t="str">
        <f>CONCATENATE("          ", "6118", " - ", "VACATION")</f>
        <v xml:space="preserve">          6118 - VACATION</v>
      </c>
      <c r="C41" s="11"/>
      <c r="D41" s="7">
        <v>123.2</v>
      </c>
      <c r="E41" s="2"/>
      <c r="F41" s="6">
        <f t="shared" si="12"/>
        <v>7.0456361062772456E-4</v>
      </c>
      <c r="G41" s="2"/>
      <c r="H41" s="7">
        <v>179.29106999999999</v>
      </c>
      <c r="I41" s="2"/>
      <c r="J41" s="6">
        <f t="shared" si="13"/>
        <v>7.4628429311744259E-4</v>
      </c>
      <c r="K41" s="2"/>
      <c r="L41" s="7">
        <f t="shared" si="14"/>
        <v>-56.091069999999988</v>
      </c>
      <c r="M41" s="2"/>
      <c r="N41" s="6">
        <f t="shared" si="15"/>
        <v>-0.31284921217771744</v>
      </c>
      <c r="O41" s="11"/>
      <c r="P41" s="7">
        <v>252.56</v>
      </c>
      <c r="Q41" s="2"/>
      <c r="R41" s="6">
        <f t="shared" si="16"/>
        <v>4.1164398310994887E-4</v>
      </c>
      <c r="S41" s="2"/>
      <c r="T41" s="7">
        <v>582.69597750000003</v>
      </c>
      <c r="U41" s="2"/>
      <c r="V41" s="6">
        <f t="shared" si="17"/>
        <v>6.5168680065090848E-4</v>
      </c>
      <c r="W41" s="2"/>
      <c r="X41" s="7">
        <f t="shared" si="18"/>
        <v>-330.13597750000002</v>
      </c>
      <c r="Y41" s="2"/>
      <c r="Z41" s="6">
        <f t="shared" si="19"/>
        <v>-0.56656642614286801</v>
      </c>
    </row>
    <row r="42" spans="1:26" s="24" customFormat="1" hidden="1" outlineLevel="2" x14ac:dyDescent="0.25">
      <c r="A42" s="29"/>
      <c r="B42" s="11" t="str">
        <f>CONCATENATE("          ", "6119", " - ", "SICK LEAVE")</f>
        <v xml:space="preserve">          6119 - SICK LEAVE</v>
      </c>
      <c r="C42" s="11"/>
      <c r="D42" s="7">
        <v>147.6</v>
      </c>
      <c r="E42" s="2"/>
      <c r="F42" s="6">
        <f t="shared" si="12"/>
        <v>8.4410380623905947E-4</v>
      </c>
      <c r="G42" s="2"/>
      <c r="H42" s="7">
        <v>273.96737999999999</v>
      </c>
      <c r="I42" s="2"/>
      <c r="J42" s="6">
        <f t="shared" si="13"/>
        <v>1.1403666257362277E-3</v>
      </c>
      <c r="K42" s="2"/>
      <c r="L42" s="7">
        <f t="shared" si="14"/>
        <v>-126.36738</v>
      </c>
      <c r="M42" s="2"/>
      <c r="N42" s="6">
        <f t="shared" si="15"/>
        <v>-0.46124972980359924</v>
      </c>
      <c r="O42" s="11"/>
      <c r="P42" s="7">
        <v>302.58</v>
      </c>
      <c r="Q42" s="2"/>
      <c r="R42" s="6">
        <f t="shared" si="16"/>
        <v>4.9317087586873737E-4</v>
      </c>
      <c r="S42" s="2"/>
      <c r="T42" s="7">
        <v>848.18398500000001</v>
      </c>
      <c r="U42" s="2"/>
      <c r="V42" s="6">
        <f t="shared" si="17"/>
        <v>9.4860841483668571E-4</v>
      </c>
      <c r="W42" s="2"/>
      <c r="X42" s="7">
        <f t="shared" si="18"/>
        <v>-545.60398499999997</v>
      </c>
      <c r="Y42" s="2"/>
      <c r="Z42" s="6">
        <f t="shared" si="19"/>
        <v>-0.64326136150755076</v>
      </c>
    </row>
    <row r="43" spans="1:26" s="24" customFormat="1" hidden="1" outlineLevel="2" x14ac:dyDescent="0.25">
      <c r="A43" s="29"/>
      <c r="B43" s="11" t="str">
        <f>CONCATENATE("          ", "6156", " - ", "EMPLOYEE MEALS")</f>
        <v xml:space="preserve">          6156 - EMPLOYEE MEALS</v>
      </c>
      <c r="C43" s="11"/>
      <c r="D43" s="7">
        <v>166.65</v>
      </c>
      <c r="E43" s="2"/>
      <c r="F43" s="6">
        <f t="shared" si="12"/>
        <v>9.5304809830446663E-4</v>
      </c>
      <c r="G43" s="2"/>
      <c r="H43" s="7">
        <v>350</v>
      </c>
      <c r="I43" s="2"/>
      <c r="J43" s="6">
        <f t="shared" si="13"/>
        <v>1.4568461362359259E-3</v>
      </c>
      <c r="K43" s="2"/>
      <c r="L43" s="7">
        <f t="shared" si="14"/>
        <v>-183.35</v>
      </c>
      <c r="M43" s="2"/>
      <c r="N43" s="6">
        <f t="shared" si="15"/>
        <v>-0.5238571428571428</v>
      </c>
      <c r="O43" s="11"/>
      <c r="P43" s="7">
        <v>190.36</v>
      </c>
      <c r="Q43" s="2"/>
      <c r="R43" s="6">
        <f t="shared" si="16"/>
        <v>3.1026508007922819E-4</v>
      </c>
      <c r="S43" s="2"/>
      <c r="T43" s="7">
        <v>1050</v>
      </c>
      <c r="U43" s="2"/>
      <c r="V43" s="6">
        <f t="shared" si="17"/>
        <v>1.1743193141975205E-3</v>
      </c>
      <c r="W43" s="2"/>
      <c r="X43" s="7">
        <f t="shared" si="18"/>
        <v>-859.64</v>
      </c>
      <c r="Y43" s="2"/>
      <c r="Z43" s="6">
        <f t="shared" si="19"/>
        <v>-0.81870476190476194</v>
      </c>
    </row>
    <row r="44" spans="1:26" s="28" customFormat="1" outlineLevel="1" collapsed="1" x14ac:dyDescent="0.25">
      <c r="A44" s="27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SUM(OSRRefD22_1x_0)</f>
        <v>9752.59</v>
      </c>
      <c r="E44" s="1"/>
      <c r="F44" s="5">
        <f t="shared" ref="F44:F54" si="20">IF(D$12=0,0,D44/D$12)</f>
        <v>5.5773701488407788E-2</v>
      </c>
      <c r="G44" s="1"/>
      <c r="H44" s="1">
        <f>SUM(OSRRefH22_1x_0)</f>
        <v>10825.55055</v>
      </c>
      <c r="I44" s="1"/>
      <c r="J44" s="5">
        <f t="shared" ref="J44:J54" si="21">IF(H$12=0,0,H44/H$12)</f>
        <v>4.5060461403983433E-2</v>
      </c>
      <c r="K44" s="1"/>
      <c r="L44" s="1">
        <f t="shared" ref="L44:L54" si="22">+D44-H44</f>
        <v>-1072.9605499999998</v>
      </c>
      <c r="M44" s="1"/>
      <c r="N44" s="5">
        <f t="shared" ref="N44:N54" si="23">IF(H44=0,0,L44/H44)</f>
        <v>-9.911371666912587E-2</v>
      </c>
      <c r="O44" s="14"/>
      <c r="P44" s="1">
        <f>SUM(OSRRefP22_1x_0)</f>
        <v>29628.46</v>
      </c>
      <c r="Q44" s="1"/>
      <c r="R44" s="5">
        <f t="shared" ref="R44:R54" si="24">IF(P$12=0,0,P44/P$12)</f>
        <v>4.8291009216874382E-2</v>
      </c>
      <c r="S44" s="1"/>
      <c r="T44" s="1">
        <f>SUM(OSRRefT22_1x_0)</f>
        <v>33776.039287499996</v>
      </c>
      <c r="U44" s="1"/>
      <c r="V44" s="5">
        <f t="shared" ref="V44:V54" si="25">IF(T$12=0,0,T44/T$12)</f>
        <v>3.7775100278481431E-2</v>
      </c>
      <c r="W44" s="1"/>
      <c r="X44" s="1">
        <f t="shared" ref="X44:X54" si="26">+P44-T44</f>
        <v>-4147.579287499997</v>
      </c>
      <c r="Y44" s="1"/>
      <c r="Z44" s="5">
        <f t="shared" ref="Z44:Z54" si="27">IF(T44=0,0,X44/T44)</f>
        <v>-0.12279649642150178</v>
      </c>
    </row>
    <row r="45" spans="1:26" s="24" customFormat="1" hidden="1" outlineLevel="2" x14ac:dyDescent="0.25">
      <c r="A45" s="29"/>
      <c r="B45" s="11" t="str">
        <f>CONCATENATE("          ", "6001", " - ", "ADMINISTRATIVE SALARIES")</f>
        <v xml:space="preserve">          6001 - ADMINISTRATIVE SALARIES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9"/>
      <c r="B46" s="11" t="str">
        <f>CONCATENATE("          ", "6002", " - ", "STAFF SALARIES")</f>
        <v xml:space="preserve">          6002 - STAFF SALARIES</v>
      </c>
      <c r="C46" s="11"/>
      <c r="D46" s="7">
        <v>1307.7</v>
      </c>
      <c r="E46" s="2"/>
      <c r="F46" s="6">
        <f t="shared" si="20"/>
        <v>7.4785538443009362E-3</v>
      </c>
      <c r="G46" s="2"/>
      <c r="H46" s="7">
        <v>2233.2305500000002</v>
      </c>
      <c r="I46" s="2"/>
      <c r="J46" s="6">
        <f t="shared" si="21"/>
        <v>9.2956379945472335E-3</v>
      </c>
      <c r="K46" s="2"/>
      <c r="L46" s="7">
        <f t="shared" si="22"/>
        <v>-925.53055000000018</v>
      </c>
      <c r="M46" s="2"/>
      <c r="N46" s="6">
        <f t="shared" si="23"/>
        <v>-0.41443573750144164</v>
      </c>
      <c r="O46" s="11"/>
      <c r="P46" s="7">
        <v>7402.32</v>
      </c>
      <c r="Q46" s="2"/>
      <c r="R46" s="6">
        <f t="shared" si="24"/>
        <v>1.2064937001324187E-2</v>
      </c>
      <c r="S46" s="2"/>
      <c r="T46" s="7">
        <v>7257.9992874999998</v>
      </c>
      <c r="U46" s="2"/>
      <c r="V46" s="6">
        <f t="shared" si="25"/>
        <v>8.1173416626124685E-3</v>
      </c>
      <c r="W46" s="2"/>
      <c r="X46" s="7">
        <f t="shared" si="26"/>
        <v>144.3207124999999</v>
      </c>
      <c r="Y46" s="2"/>
      <c r="Z46" s="6">
        <f t="shared" si="27"/>
        <v>1.9884365757455291E-2</v>
      </c>
    </row>
    <row r="47" spans="1:26" s="24" customFormat="1" hidden="1" outlineLevel="2" x14ac:dyDescent="0.25">
      <c r="A47" s="29"/>
      <c r="B47" s="11" t="str">
        <f>CONCATENATE("          ", "6003", " - ", "STAFF HOURLY-9 MONTH")</f>
        <v xml:space="preserve">          6003 - STAFF HOURLY-9 MONTH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4" customFormat="1" hidden="1" outlineLevel="2" x14ac:dyDescent="0.25">
      <c r="A48" s="29"/>
      <c r="B48" s="11" t="str">
        <f>CONCATENATE("          ", "6004", " - ", "STAFF HOURLY")</f>
        <v xml:space="preserve">          6004 - STAFF HOURLY</v>
      </c>
      <c r="C48" s="11"/>
      <c r="D48" s="7">
        <v>3890.2</v>
      </c>
      <c r="E48" s="2"/>
      <c r="F48" s="6">
        <f t="shared" si="20"/>
        <v>2.2247511023246541E-2</v>
      </c>
      <c r="G48" s="2"/>
      <c r="H48" s="7">
        <v>3444.32</v>
      </c>
      <c r="I48" s="2"/>
      <c r="J48" s="6">
        <f t="shared" si="21"/>
        <v>1.4336697954171784E-2</v>
      </c>
      <c r="K48" s="2"/>
      <c r="L48" s="7">
        <f t="shared" si="22"/>
        <v>445.87999999999965</v>
      </c>
      <c r="M48" s="2"/>
      <c r="N48" s="6">
        <f t="shared" si="23"/>
        <v>0.12945370929530348</v>
      </c>
      <c r="O48" s="11"/>
      <c r="P48" s="7">
        <v>5610.03</v>
      </c>
      <c r="Q48" s="2"/>
      <c r="R48" s="6">
        <f t="shared" si="24"/>
        <v>9.1437088001516727E-3</v>
      </c>
      <c r="S48" s="2"/>
      <c r="T48" s="7">
        <v>11194.04</v>
      </c>
      <c r="U48" s="2"/>
      <c r="V48" s="6">
        <f t="shared" si="25"/>
        <v>1.2519407024666298E-2</v>
      </c>
      <c r="W48" s="2"/>
      <c r="X48" s="7">
        <f t="shared" si="26"/>
        <v>-5584.0100000000011</v>
      </c>
      <c r="Y48" s="2"/>
      <c r="Z48" s="6">
        <f t="shared" si="27"/>
        <v>-0.4988377743870846</v>
      </c>
    </row>
    <row r="49" spans="1:26" s="24" customFormat="1" hidden="1" outlineLevel="2" x14ac:dyDescent="0.25">
      <c r="A49" s="29"/>
      <c r="B49" s="11" t="str">
        <f>CONCATENATE("          ", "6005", " - ", "TEMPORARY WAGES-HOURLY")</f>
        <v xml:space="preserve">          6005 - TEMPORARY WAGES-HOURLY</v>
      </c>
      <c r="C49" s="11"/>
      <c r="D49" s="7">
        <v>1425.28</v>
      </c>
      <c r="E49" s="2"/>
      <c r="F49" s="6">
        <f t="shared" si="20"/>
        <v>8.1509774590542462E-3</v>
      </c>
      <c r="G49" s="2"/>
      <c r="H49" s="7">
        <v>0</v>
      </c>
      <c r="I49" s="2"/>
      <c r="J49" s="6">
        <f t="shared" si="21"/>
        <v>0</v>
      </c>
      <c r="K49" s="2"/>
      <c r="L49" s="7">
        <f t="shared" si="22"/>
        <v>1425.28</v>
      </c>
      <c r="M49" s="2"/>
      <c r="N49" s="6">
        <f t="shared" si="23"/>
        <v>0</v>
      </c>
      <c r="O49" s="11"/>
      <c r="P49" s="7">
        <v>1425.28</v>
      </c>
      <c r="Q49" s="2"/>
      <c r="R49" s="6">
        <f t="shared" si="24"/>
        <v>2.323043776714238E-3</v>
      </c>
      <c r="S49" s="2"/>
      <c r="T49" s="7">
        <v>0</v>
      </c>
      <c r="U49" s="2"/>
      <c r="V49" s="6">
        <f t="shared" si="25"/>
        <v>0</v>
      </c>
      <c r="W49" s="2"/>
      <c r="X49" s="7">
        <f t="shared" si="26"/>
        <v>1425.28</v>
      </c>
      <c r="Y49" s="2"/>
      <c r="Z49" s="6">
        <f t="shared" si="27"/>
        <v>0</v>
      </c>
    </row>
    <row r="50" spans="1:26" s="24" customFormat="1" hidden="1" outlineLevel="2" x14ac:dyDescent="0.25">
      <c r="A50" s="29"/>
      <c r="B50" s="11" t="str">
        <f>CONCATENATE("          ", "6006", " - ", "TEMPORARY PART TIME")</f>
        <v xml:space="preserve">          6006 - TEMPORARY PART TIME</v>
      </c>
      <c r="C50" s="11"/>
      <c r="D50" s="7"/>
      <c r="E50" s="2"/>
      <c r="F50" s="6">
        <f t="shared" si="20"/>
        <v>0</v>
      </c>
      <c r="G50" s="2"/>
      <c r="H50" s="7">
        <v>0</v>
      </c>
      <c r="I50" s="2"/>
      <c r="J50" s="6">
        <f t="shared" si="21"/>
        <v>0</v>
      </c>
      <c r="K50" s="2"/>
      <c r="L50" s="7">
        <f t="shared" si="22"/>
        <v>0</v>
      </c>
      <c r="M50" s="2"/>
      <c r="N50" s="6">
        <f t="shared" si="23"/>
        <v>0</v>
      </c>
      <c r="O50" s="11"/>
      <c r="P50" s="7"/>
      <c r="Q50" s="2"/>
      <c r="R50" s="6">
        <f t="shared" si="24"/>
        <v>0</v>
      </c>
      <c r="S50" s="2"/>
      <c r="T50" s="7">
        <v>0</v>
      </c>
      <c r="U50" s="2"/>
      <c r="V50" s="6">
        <f t="shared" si="25"/>
        <v>0</v>
      </c>
      <c r="W50" s="2"/>
      <c r="X50" s="7">
        <f t="shared" si="26"/>
        <v>0</v>
      </c>
      <c r="Y50" s="2"/>
      <c r="Z50" s="6">
        <f t="shared" si="27"/>
        <v>0</v>
      </c>
    </row>
    <row r="51" spans="1:26" s="24" customFormat="1" hidden="1" outlineLevel="2" x14ac:dyDescent="0.25">
      <c r="A51" s="29"/>
      <c r="B51" s="11" t="str">
        <f>CONCATENATE("          ", "6007", " - ", "STUDENT HOURLY")</f>
        <v xml:space="preserve">          6007 - STUDENT HOURLY</v>
      </c>
      <c r="C51" s="11"/>
      <c r="D51" s="7">
        <v>1992.89</v>
      </c>
      <c r="E51" s="2"/>
      <c r="F51" s="6">
        <f t="shared" si="20"/>
        <v>1.1397059853765308E-2</v>
      </c>
      <c r="G51" s="2"/>
      <c r="H51" s="7">
        <v>0</v>
      </c>
      <c r="I51" s="2"/>
      <c r="J51" s="6">
        <f t="shared" si="21"/>
        <v>0</v>
      </c>
      <c r="K51" s="2"/>
      <c r="L51" s="7">
        <f t="shared" si="22"/>
        <v>1992.89</v>
      </c>
      <c r="M51" s="2"/>
      <c r="N51" s="6">
        <f t="shared" si="23"/>
        <v>0</v>
      </c>
      <c r="O51" s="11"/>
      <c r="P51" s="7">
        <v>12896.76</v>
      </c>
      <c r="Q51" s="2"/>
      <c r="R51" s="6">
        <f t="shared" si="24"/>
        <v>2.1020247290200602E-2</v>
      </c>
      <c r="S51" s="2"/>
      <c r="T51" s="7">
        <v>10176</v>
      </c>
      <c r="U51" s="2"/>
      <c r="V51" s="6">
        <f t="shared" si="25"/>
        <v>1.1380831753594256E-2</v>
      </c>
      <c r="W51" s="2"/>
      <c r="X51" s="7">
        <f t="shared" si="26"/>
        <v>2720.76</v>
      </c>
      <c r="Y51" s="2"/>
      <c r="Z51" s="6">
        <f t="shared" si="27"/>
        <v>0.26737028301886795</v>
      </c>
    </row>
    <row r="52" spans="1:26" s="24" customFormat="1" hidden="1" outlineLevel="2" x14ac:dyDescent="0.25">
      <c r="A52" s="29"/>
      <c r="B52" s="11" t="str">
        <f>CONCATENATE("          ", "6008", " - ", "STUDENT HOURLY-FICA EXEMPT")</f>
        <v xml:space="preserve">          6008 - STUDENT HOURLY-FICA EXEMPT</v>
      </c>
      <c r="C52" s="11"/>
      <c r="D52" s="7">
        <v>1136.52</v>
      </c>
      <c r="E52" s="2"/>
      <c r="F52" s="6">
        <f t="shared" si="20"/>
        <v>6.4995993080407587E-3</v>
      </c>
      <c r="G52" s="2"/>
      <c r="H52" s="7">
        <v>5148</v>
      </c>
      <c r="I52" s="2"/>
      <c r="J52" s="6">
        <f t="shared" si="21"/>
        <v>2.1428125455264419E-2</v>
      </c>
      <c r="K52" s="2"/>
      <c r="L52" s="7">
        <f t="shared" si="22"/>
        <v>-4011.48</v>
      </c>
      <c r="M52" s="2"/>
      <c r="N52" s="6">
        <f t="shared" si="23"/>
        <v>-0.77923076923076928</v>
      </c>
      <c r="O52" s="11"/>
      <c r="P52" s="7">
        <v>2294.0700000000002</v>
      </c>
      <c r="Q52" s="2"/>
      <c r="R52" s="6">
        <f t="shared" si="24"/>
        <v>3.7390723484836889E-3</v>
      </c>
      <c r="S52" s="2"/>
      <c r="T52" s="7">
        <v>5148</v>
      </c>
      <c r="U52" s="2"/>
      <c r="V52" s="6">
        <f t="shared" si="25"/>
        <v>5.7575198376084149E-3</v>
      </c>
      <c r="W52" s="2"/>
      <c r="X52" s="7">
        <f t="shared" si="26"/>
        <v>-2853.93</v>
      </c>
      <c r="Y52" s="2"/>
      <c r="Z52" s="6">
        <f t="shared" si="27"/>
        <v>-0.55437645687645687</v>
      </c>
    </row>
    <row r="53" spans="1:26" s="24" customFormat="1" hidden="1" outlineLevel="2" x14ac:dyDescent="0.25">
      <c r="A53" s="29"/>
      <c r="B53" s="11" t="str">
        <f>CONCATENATE("          ", "6009", " - ", "TEMPORARY-SEASONAL")</f>
        <v xml:space="preserve">          6009 - TEMPORARY-SEASONAL</v>
      </c>
      <c r="C53" s="11"/>
      <c r="D53" s="7"/>
      <c r="E53" s="2"/>
      <c r="F53" s="6">
        <f t="shared" si="20"/>
        <v>0</v>
      </c>
      <c r="G53" s="2"/>
      <c r="H53" s="7">
        <v>0</v>
      </c>
      <c r="I53" s="2"/>
      <c r="J53" s="6">
        <f t="shared" si="21"/>
        <v>0</v>
      </c>
      <c r="K53" s="2"/>
      <c r="L53" s="7">
        <f t="shared" si="22"/>
        <v>0</v>
      </c>
      <c r="M53" s="2"/>
      <c r="N53" s="6">
        <f t="shared" si="23"/>
        <v>0</v>
      </c>
      <c r="O53" s="11"/>
      <c r="P53" s="7"/>
      <c r="Q53" s="2"/>
      <c r="R53" s="6">
        <f t="shared" si="24"/>
        <v>0</v>
      </c>
      <c r="S53" s="2"/>
      <c r="T53" s="7">
        <v>0</v>
      </c>
      <c r="U53" s="2"/>
      <c r="V53" s="6">
        <f t="shared" si="25"/>
        <v>0</v>
      </c>
      <c r="W53" s="2"/>
      <c r="X53" s="7">
        <f t="shared" si="26"/>
        <v>0</v>
      </c>
      <c r="Y53" s="2"/>
      <c r="Z53" s="6">
        <f t="shared" si="27"/>
        <v>0</v>
      </c>
    </row>
    <row r="54" spans="1:26" s="24" customFormat="1" hidden="1" outlineLevel="2" x14ac:dyDescent="0.25">
      <c r="A54" s="29"/>
      <c r="B54" s="11" t="str">
        <f>CONCATENATE("          ", "6010", " - ", "GRATUITY")</f>
        <v xml:space="preserve">          6010 - GRATUITY</v>
      </c>
      <c r="C54" s="11"/>
      <c r="D54" s="7"/>
      <c r="E54" s="2"/>
      <c r="F54" s="6">
        <f t="shared" si="20"/>
        <v>0</v>
      </c>
      <c r="G54" s="2"/>
      <c r="H54" s="7">
        <v>0</v>
      </c>
      <c r="I54" s="2"/>
      <c r="J54" s="6">
        <f t="shared" si="21"/>
        <v>0</v>
      </c>
      <c r="K54" s="2"/>
      <c r="L54" s="7">
        <f t="shared" si="22"/>
        <v>0</v>
      </c>
      <c r="M54" s="2"/>
      <c r="N54" s="6">
        <f t="shared" si="23"/>
        <v>0</v>
      </c>
      <c r="O54" s="11"/>
      <c r="P54" s="7"/>
      <c r="Q54" s="2"/>
      <c r="R54" s="6">
        <f t="shared" si="24"/>
        <v>0</v>
      </c>
      <c r="S54" s="2"/>
      <c r="T54" s="7">
        <v>0</v>
      </c>
      <c r="U54" s="2"/>
      <c r="V54" s="6">
        <f t="shared" si="25"/>
        <v>0</v>
      </c>
      <c r="W54" s="2"/>
      <c r="X54" s="7">
        <f t="shared" si="26"/>
        <v>0</v>
      </c>
      <c r="Y54" s="2"/>
      <c r="Z54" s="6">
        <f t="shared" si="27"/>
        <v>0</v>
      </c>
    </row>
    <row r="55" spans="1:26" s="28" customFormat="1" outlineLevel="1" collapsed="1" x14ac:dyDescent="0.25">
      <c r="A55" s="27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SUM(OSRRefD22_2x_0)</f>
        <v>19.850000000000001</v>
      </c>
      <c r="E55" s="1"/>
      <c r="F55" s="5">
        <f t="shared" ref="F55:F69" si="28">IF(D$12=0,0,D55/D$12)</f>
        <v>1.1351938044610659E-4</v>
      </c>
      <c r="G55" s="1"/>
      <c r="H55" s="1">
        <f>SUM(OSRRefH22_2x_0)</f>
        <v>200</v>
      </c>
      <c r="I55" s="1"/>
      <c r="J55" s="5">
        <f t="shared" ref="J55:J69" si="29">IF(H$12=0,0,H55/H$12)</f>
        <v>8.3248350642052907E-4</v>
      </c>
      <c r="K55" s="1"/>
      <c r="L55" s="1">
        <f t="shared" ref="L55:L69" si="30">+D55-H55</f>
        <v>-180.15</v>
      </c>
      <c r="M55" s="1"/>
      <c r="N55" s="5">
        <f t="shared" ref="N55:N69" si="31">IF(H55=0,0,L55/H55)</f>
        <v>-0.90075000000000005</v>
      </c>
      <c r="O55" s="14"/>
      <c r="P55" s="1">
        <f>SUM(OSRRefP22_2x_0)</f>
        <v>104.89</v>
      </c>
      <c r="Q55" s="1"/>
      <c r="R55" s="5">
        <f t="shared" ref="R55:R69" si="32">IF(P$12=0,0,P55/P$12)</f>
        <v>1.7095873213653206E-4</v>
      </c>
      <c r="S55" s="1"/>
      <c r="T55" s="1">
        <f>SUM(OSRRefT22_2x_0)</f>
        <v>600</v>
      </c>
      <c r="U55" s="1"/>
      <c r="V55" s="5">
        <f t="shared" ref="V55:V69" si="33">IF(T$12=0,0,T55/T$12)</f>
        <v>6.7103960811286888E-4</v>
      </c>
      <c r="W55" s="1"/>
      <c r="X55" s="1">
        <f t="shared" ref="X55:X69" si="34">+P55-T55</f>
        <v>-495.11</v>
      </c>
      <c r="Y55" s="1"/>
      <c r="Z55" s="5">
        <f t="shared" ref="Z55:Z69" si="35">IF(T55=0,0,X55/T55)</f>
        <v>-0.82518333333333338</v>
      </c>
    </row>
    <row r="56" spans="1:26" s="24" customFormat="1" hidden="1" outlineLevel="2" x14ac:dyDescent="0.25">
      <c r="A56" s="29"/>
      <c r="B56" s="11" t="str">
        <f>CONCATENATE("          ", "6362", " - ", "ADVERTISING EXPENSE")</f>
        <v xml:space="preserve">          6362 - ADVERTISING EXPENSE</v>
      </c>
      <c r="C56" s="11"/>
      <c r="D56" s="7">
        <v>19.850000000000001</v>
      </c>
      <c r="E56" s="2"/>
      <c r="F56" s="6">
        <f t="shared" si="28"/>
        <v>1.1351938044610659E-4</v>
      </c>
      <c r="G56" s="2"/>
      <c r="H56" s="7">
        <v>200</v>
      </c>
      <c r="I56" s="2"/>
      <c r="J56" s="6">
        <f t="shared" si="29"/>
        <v>8.3248350642052907E-4</v>
      </c>
      <c r="K56" s="2"/>
      <c r="L56" s="7">
        <f t="shared" si="30"/>
        <v>-180.15</v>
      </c>
      <c r="M56" s="2"/>
      <c r="N56" s="6">
        <f t="shared" si="31"/>
        <v>-0.90075000000000005</v>
      </c>
      <c r="O56" s="11"/>
      <c r="P56" s="7">
        <v>104.89</v>
      </c>
      <c r="Q56" s="2"/>
      <c r="R56" s="6">
        <f t="shared" si="32"/>
        <v>1.7095873213653206E-4</v>
      </c>
      <c r="S56" s="2"/>
      <c r="T56" s="7">
        <v>600</v>
      </c>
      <c r="U56" s="2"/>
      <c r="V56" s="6">
        <f t="shared" si="33"/>
        <v>6.7103960811286888E-4</v>
      </c>
      <c r="W56" s="2"/>
      <c r="X56" s="7">
        <f t="shared" si="34"/>
        <v>-495.11</v>
      </c>
      <c r="Y56" s="2"/>
      <c r="Z56" s="6">
        <f t="shared" si="35"/>
        <v>-0.82518333333333338</v>
      </c>
    </row>
    <row r="57" spans="1:26" s="28" customFormat="1" outlineLevel="1" collapsed="1" x14ac:dyDescent="0.25">
      <c r="A57" s="27"/>
      <c r="B57" s="14" t="str">
        <f>CONCATENATE("     ","Depreciation                                      ")</f>
        <v xml:space="preserve">     Depreciation                                      </v>
      </c>
      <c r="C57" s="14"/>
      <c r="D57" s="1">
        <f>SUM(OSRRefD22_3x_0)</f>
        <v>280.44</v>
      </c>
      <c r="E57" s="1"/>
      <c r="F57" s="5">
        <f t="shared" si="28"/>
        <v>1.6037972318542133E-3</v>
      </c>
      <c r="G57" s="1"/>
      <c r="H57" s="1">
        <f>SUM(OSRRefH22_3x_0)</f>
        <v>0</v>
      </c>
      <c r="I57" s="1"/>
      <c r="J57" s="5">
        <f t="shared" si="29"/>
        <v>0</v>
      </c>
      <c r="K57" s="1"/>
      <c r="L57" s="1">
        <f t="shared" si="30"/>
        <v>280.44</v>
      </c>
      <c r="M57" s="1"/>
      <c r="N57" s="5">
        <f t="shared" si="31"/>
        <v>0</v>
      </c>
      <c r="O57" s="14"/>
      <c r="P57" s="1">
        <f>SUM(OSRRefP22_3x_0)</f>
        <v>841.32</v>
      </c>
      <c r="Q57" s="1"/>
      <c r="R57" s="5">
        <f t="shared" si="32"/>
        <v>1.3712556060740506E-3</v>
      </c>
      <c r="S57" s="1"/>
      <c r="T57" s="1">
        <f>SUM(OSRRefT22_3x_0)</f>
        <v>0</v>
      </c>
      <c r="U57" s="1"/>
      <c r="V57" s="5">
        <f t="shared" si="33"/>
        <v>0</v>
      </c>
      <c r="W57" s="1"/>
      <c r="X57" s="1">
        <f t="shared" si="34"/>
        <v>841.32</v>
      </c>
      <c r="Y57" s="1"/>
      <c r="Z57" s="5">
        <f t="shared" si="35"/>
        <v>0</v>
      </c>
    </row>
    <row r="58" spans="1:26" s="24" customFormat="1" hidden="1" outlineLevel="2" x14ac:dyDescent="0.25">
      <c r="A58" s="29"/>
      <c r="B58" s="11" t="str">
        <f>CONCATENATE("          ", "6322", " - ", "EQUIPMENT DEPRECIATION EXPENSE")</f>
        <v xml:space="preserve">          6322 - EQUIPMENT DEPRECIATION EXPENSE</v>
      </c>
      <c r="C58" s="11"/>
      <c r="D58" s="7">
        <v>280.44</v>
      </c>
      <c r="E58" s="2"/>
      <c r="F58" s="6">
        <f t="shared" si="28"/>
        <v>1.6037972318542133E-3</v>
      </c>
      <c r="G58" s="2"/>
      <c r="H58" s="7"/>
      <c r="I58" s="2"/>
      <c r="J58" s="6">
        <f t="shared" si="29"/>
        <v>0</v>
      </c>
      <c r="K58" s="2"/>
      <c r="L58" s="7">
        <f t="shared" si="30"/>
        <v>280.44</v>
      </c>
      <c r="M58" s="2"/>
      <c r="N58" s="6">
        <f t="shared" si="31"/>
        <v>0</v>
      </c>
      <c r="O58" s="11"/>
      <c r="P58" s="7">
        <v>841.32</v>
      </c>
      <c r="Q58" s="2"/>
      <c r="R58" s="6">
        <f t="shared" si="32"/>
        <v>1.3712556060740506E-3</v>
      </c>
      <c r="S58" s="2"/>
      <c r="T58" s="7"/>
      <c r="U58" s="2"/>
      <c r="V58" s="6">
        <f t="shared" si="33"/>
        <v>0</v>
      </c>
      <c r="W58" s="2"/>
      <c r="X58" s="7">
        <f t="shared" si="34"/>
        <v>841.32</v>
      </c>
      <c r="Y58" s="2"/>
      <c r="Z58" s="6">
        <f t="shared" si="35"/>
        <v>0</v>
      </c>
    </row>
    <row r="59" spans="1:26" s="28" customFormat="1" outlineLevel="1" collapsed="1" x14ac:dyDescent="0.25">
      <c r="A59" s="27"/>
      <c r="B59" s="14" t="str">
        <f>CONCATENATE("     ","Employees' Appreciation                           ")</f>
        <v xml:space="preserve">     Employees' Appreciation                           </v>
      </c>
      <c r="C59" s="14"/>
      <c r="D59" s="1">
        <f>SUM(OSRRefD22_4x_0)</f>
        <v>0</v>
      </c>
      <c r="E59" s="1"/>
      <c r="F59" s="5">
        <f t="shared" si="28"/>
        <v>0</v>
      </c>
      <c r="G59" s="1"/>
      <c r="H59" s="1">
        <f>SUM(OSRRefH22_4x_0)</f>
        <v>20</v>
      </c>
      <c r="I59" s="1"/>
      <c r="J59" s="5">
        <f t="shared" si="29"/>
        <v>8.3248350642052909E-5</v>
      </c>
      <c r="K59" s="1"/>
      <c r="L59" s="1">
        <f t="shared" si="30"/>
        <v>-20</v>
      </c>
      <c r="M59" s="1"/>
      <c r="N59" s="5">
        <f t="shared" si="31"/>
        <v>-1</v>
      </c>
      <c r="O59" s="14"/>
      <c r="P59" s="1">
        <f>SUM(OSRRefP22_4x_0)</f>
        <v>0</v>
      </c>
      <c r="Q59" s="1"/>
      <c r="R59" s="5">
        <f t="shared" si="32"/>
        <v>0</v>
      </c>
      <c r="S59" s="1"/>
      <c r="T59" s="1">
        <f>SUM(OSRRefT22_4x_0)</f>
        <v>60</v>
      </c>
      <c r="U59" s="1"/>
      <c r="V59" s="5">
        <f t="shared" si="33"/>
        <v>6.710396081128688E-5</v>
      </c>
      <c r="W59" s="1"/>
      <c r="X59" s="1">
        <f t="shared" si="34"/>
        <v>-60</v>
      </c>
      <c r="Y59" s="1"/>
      <c r="Z59" s="5">
        <f t="shared" si="35"/>
        <v>-1</v>
      </c>
    </row>
    <row r="60" spans="1:26" s="24" customFormat="1" hidden="1" outlineLevel="2" x14ac:dyDescent="0.25">
      <c r="A60" s="29"/>
      <c r="B60" s="11" t="str">
        <f>CONCATENATE("          ", "6277", " - ", "EMPLOYEE APPRECIATION")</f>
        <v xml:space="preserve">          6277 - EMPLOYEE APPRECIATION</v>
      </c>
      <c r="C60" s="11"/>
      <c r="D60" s="7"/>
      <c r="E60" s="2"/>
      <c r="F60" s="6">
        <f t="shared" si="28"/>
        <v>0</v>
      </c>
      <c r="G60" s="2"/>
      <c r="H60" s="7">
        <v>20</v>
      </c>
      <c r="I60" s="2"/>
      <c r="J60" s="6">
        <f t="shared" si="29"/>
        <v>8.3248350642052909E-5</v>
      </c>
      <c r="K60" s="2"/>
      <c r="L60" s="7">
        <f t="shared" si="30"/>
        <v>-20</v>
      </c>
      <c r="M60" s="2"/>
      <c r="N60" s="6">
        <f t="shared" si="31"/>
        <v>-1</v>
      </c>
      <c r="O60" s="11"/>
      <c r="P60" s="7"/>
      <c r="Q60" s="2"/>
      <c r="R60" s="6">
        <f t="shared" si="32"/>
        <v>0</v>
      </c>
      <c r="S60" s="2"/>
      <c r="T60" s="7">
        <v>60</v>
      </c>
      <c r="U60" s="2"/>
      <c r="V60" s="6">
        <f t="shared" si="33"/>
        <v>6.710396081128688E-5</v>
      </c>
      <c r="W60" s="2"/>
      <c r="X60" s="7">
        <f t="shared" si="34"/>
        <v>-60</v>
      </c>
      <c r="Y60" s="2"/>
      <c r="Z60" s="6">
        <f t="shared" si="35"/>
        <v>-1</v>
      </c>
    </row>
    <row r="61" spans="1:26" s="28" customFormat="1" outlineLevel="1" collapsed="1" x14ac:dyDescent="0.25">
      <c r="A61" s="27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SUM(OSRRefD22_5x_0)</f>
        <v>23.18</v>
      </c>
      <c r="E61" s="1"/>
      <c r="F61" s="5">
        <f t="shared" si="28"/>
        <v>1.3256318583076829E-4</v>
      </c>
      <c r="G61" s="1"/>
      <c r="H61" s="1">
        <f>SUM(OSRRefH22_5x_0)</f>
        <v>15</v>
      </c>
      <c r="I61" s="1"/>
      <c r="J61" s="5">
        <f t="shared" si="29"/>
        <v>6.2436262981539672E-5</v>
      </c>
      <c r="K61" s="1"/>
      <c r="L61" s="1">
        <f t="shared" si="30"/>
        <v>8.18</v>
      </c>
      <c r="M61" s="1"/>
      <c r="N61" s="5">
        <f t="shared" si="31"/>
        <v>0.54533333333333334</v>
      </c>
      <c r="O61" s="14"/>
      <c r="P61" s="1">
        <f>SUM(OSRRefP22_5x_0)</f>
        <v>116.37</v>
      </c>
      <c r="Q61" s="1"/>
      <c r="R61" s="5">
        <f t="shared" si="32"/>
        <v>1.8966982227789337E-4</v>
      </c>
      <c r="S61" s="1"/>
      <c r="T61" s="1">
        <f>SUM(OSRRefT22_5x_0)</f>
        <v>45</v>
      </c>
      <c r="U61" s="1"/>
      <c r="V61" s="5">
        <f t="shared" si="33"/>
        <v>5.0327970608465163E-5</v>
      </c>
      <c r="W61" s="1"/>
      <c r="X61" s="1">
        <f t="shared" si="34"/>
        <v>71.37</v>
      </c>
      <c r="Y61" s="1"/>
      <c r="Z61" s="5">
        <f t="shared" si="35"/>
        <v>1.5860000000000001</v>
      </c>
    </row>
    <row r="62" spans="1:26" s="24" customFormat="1" hidden="1" outlineLevel="2" x14ac:dyDescent="0.25">
      <c r="A62" s="29"/>
      <c r="B62" s="11" t="str">
        <f>CONCATENATE("          ", "6305", " - ", "FREIGHT OUT")</f>
        <v xml:space="preserve">          6305 - FREIGHT OUT</v>
      </c>
      <c r="C62" s="11"/>
      <c r="D62" s="7">
        <v>23.18</v>
      </c>
      <c r="E62" s="2"/>
      <c r="F62" s="6">
        <f t="shared" si="28"/>
        <v>1.3256318583076829E-4</v>
      </c>
      <c r="G62" s="2"/>
      <c r="H62" s="7">
        <v>15</v>
      </c>
      <c r="I62" s="2"/>
      <c r="J62" s="6">
        <f t="shared" si="29"/>
        <v>6.2436262981539672E-5</v>
      </c>
      <c r="K62" s="2"/>
      <c r="L62" s="7">
        <f t="shared" si="30"/>
        <v>8.18</v>
      </c>
      <c r="M62" s="2"/>
      <c r="N62" s="6">
        <f t="shared" si="31"/>
        <v>0.54533333333333334</v>
      </c>
      <c r="O62" s="11"/>
      <c r="P62" s="7">
        <v>116.37</v>
      </c>
      <c r="Q62" s="2"/>
      <c r="R62" s="6">
        <f t="shared" si="32"/>
        <v>1.8966982227789337E-4</v>
      </c>
      <c r="S62" s="2"/>
      <c r="T62" s="7">
        <v>45</v>
      </c>
      <c r="U62" s="2"/>
      <c r="V62" s="6">
        <f t="shared" si="33"/>
        <v>5.0327970608465163E-5</v>
      </c>
      <c r="W62" s="2"/>
      <c r="X62" s="7">
        <f t="shared" si="34"/>
        <v>71.37</v>
      </c>
      <c r="Y62" s="2"/>
      <c r="Z62" s="6">
        <f t="shared" si="35"/>
        <v>1.5860000000000001</v>
      </c>
    </row>
    <row r="63" spans="1:26" s="28" customFormat="1" outlineLevel="1" collapsed="1" x14ac:dyDescent="0.25">
      <c r="A63" s="27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SUM(OSRRefD22_6x_0)</f>
        <v>0</v>
      </c>
      <c r="E63" s="1"/>
      <c r="F63" s="5">
        <f t="shared" si="28"/>
        <v>0</v>
      </c>
      <c r="G63" s="1"/>
      <c r="H63" s="1">
        <f>SUM(OSRRefH22_6x_0)</f>
        <v>30</v>
      </c>
      <c r="I63" s="1"/>
      <c r="J63" s="5">
        <f t="shared" si="29"/>
        <v>1.2487252596307934E-4</v>
      </c>
      <c r="K63" s="1"/>
      <c r="L63" s="1">
        <f t="shared" si="30"/>
        <v>-30</v>
      </c>
      <c r="M63" s="1"/>
      <c r="N63" s="5">
        <f t="shared" si="31"/>
        <v>-1</v>
      </c>
      <c r="O63" s="14"/>
      <c r="P63" s="1">
        <f>SUM(OSRRefP22_6x_0)</f>
        <v>0</v>
      </c>
      <c r="Q63" s="1"/>
      <c r="R63" s="5">
        <f t="shared" si="32"/>
        <v>0</v>
      </c>
      <c r="S63" s="1"/>
      <c r="T63" s="1">
        <f>SUM(OSRRefT22_6x_0)</f>
        <v>90</v>
      </c>
      <c r="U63" s="1"/>
      <c r="V63" s="5">
        <f t="shared" si="33"/>
        <v>1.0065594121693033E-4</v>
      </c>
      <c r="W63" s="1"/>
      <c r="X63" s="1">
        <f t="shared" si="34"/>
        <v>-90</v>
      </c>
      <c r="Y63" s="1"/>
      <c r="Z63" s="5">
        <f t="shared" si="35"/>
        <v>-1</v>
      </c>
    </row>
    <row r="64" spans="1:26" s="24" customFormat="1" hidden="1" outlineLevel="2" x14ac:dyDescent="0.25">
      <c r="A64" s="29"/>
      <c r="B64" s="11" t="str">
        <f>CONCATENATE("          ", "6279", " - ", "GENERAL EXPENSE")</f>
        <v xml:space="preserve">          6279 - GENERAL EXPENSE</v>
      </c>
      <c r="C64" s="11"/>
      <c r="D64" s="7"/>
      <c r="E64" s="2"/>
      <c r="F64" s="6">
        <f t="shared" si="28"/>
        <v>0</v>
      </c>
      <c r="G64" s="2"/>
      <c r="H64" s="7">
        <v>30</v>
      </c>
      <c r="I64" s="2"/>
      <c r="J64" s="6">
        <f t="shared" si="29"/>
        <v>1.2487252596307934E-4</v>
      </c>
      <c r="K64" s="2"/>
      <c r="L64" s="7">
        <f t="shared" si="30"/>
        <v>-30</v>
      </c>
      <c r="M64" s="2"/>
      <c r="N64" s="6">
        <f t="shared" si="31"/>
        <v>-1</v>
      </c>
      <c r="O64" s="11"/>
      <c r="P64" s="7"/>
      <c r="Q64" s="2"/>
      <c r="R64" s="6">
        <f t="shared" si="32"/>
        <v>0</v>
      </c>
      <c r="S64" s="2"/>
      <c r="T64" s="7">
        <v>90</v>
      </c>
      <c r="U64" s="2"/>
      <c r="V64" s="6">
        <f t="shared" si="33"/>
        <v>1.0065594121693033E-4</v>
      </c>
      <c r="W64" s="2"/>
      <c r="X64" s="7">
        <f t="shared" si="34"/>
        <v>-90</v>
      </c>
      <c r="Y64" s="2"/>
      <c r="Z64" s="6">
        <f t="shared" si="35"/>
        <v>-1</v>
      </c>
    </row>
    <row r="65" spans="1:26" s="28" customFormat="1" outlineLevel="1" collapsed="1" x14ac:dyDescent="0.25">
      <c r="A65" s="27"/>
      <c r="B65" s="14" t="str">
        <f>CONCATENATE("     ","Inventory Adjustment                              ")</f>
        <v xml:space="preserve">     Inventory Adjustment                              </v>
      </c>
      <c r="C65" s="14"/>
      <c r="D65" s="1">
        <f>SUM(OSRRefD22_7x_0)</f>
        <v>590</v>
      </c>
      <c r="E65" s="1"/>
      <c r="F65" s="5">
        <f t="shared" si="28"/>
        <v>3.3741276807658883E-3</v>
      </c>
      <c r="G65" s="1"/>
      <c r="H65" s="1">
        <f>SUM(OSRRefH22_7x_0)</f>
        <v>1300</v>
      </c>
      <c r="I65" s="1"/>
      <c r="J65" s="5">
        <f t="shared" si="29"/>
        <v>5.4111427917334391E-3</v>
      </c>
      <c r="K65" s="1"/>
      <c r="L65" s="1">
        <f t="shared" si="30"/>
        <v>-710</v>
      </c>
      <c r="M65" s="1"/>
      <c r="N65" s="5">
        <f t="shared" si="31"/>
        <v>-0.5461538461538461</v>
      </c>
      <c r="O65" s="14"/>
      <c r="P65" s="1">
        <f>SUM(OSRRefP22_7x_0)</f>
        <v>4080</v>
      </c>
      <c r="Q65" s="1"/>
      <c r="R65" s="5">
        <f t="shared" si="32"/>
        <v>6.649934475327017E-3</v>
      </c>
      <c r="S65" s="1"/>
      <c r="T65" s="1">
        <f>SUM(OSRRefT22_7x_0)</f>
        <v>4790</v>
      </c>
      <c r="U65" s="1"/>
      <c r="V65" s="5">
        <f t="shared" si="33"/>
        <v>5.3571328714344035E-3</v>
      </c>
      <c r="W65" s="1"/>
      <c r="X65" s="1">
        <f t="shared" si="34"/>
        <v>-710</v>
      </c>
      <c r="Y65" s="1"/>
      <c r="Z65" s="5">
        <f t="shared" si="35"/>
        <v>-0.14822546972860126</v>
      </c>
    </row>
    <row r="66" spans="1:26" s="24" customFormat="1" hidden="1" outlineLevel="2" x14ac:dyDescent="0.25">
      <c r="A66" s="29"/>
      <c r="B66" s="11" t="str">
        <f>CONCATENATE("          ", "6408", " - ", "INVENTORY ADJUSTMENT")</f>
        <v xml:space="preserve">          6408 - INVENTORY ADJUSTMENT</v>
      </c>
      <c r="C66" s="11"/>
      <c r="D66" s="7">
        <v>590</v>
      </c>
      <c r="E66" s="2"/>
      <c r="F66" s="6">
        <f t="shared" si="28"/>
        <v>3.3741276807658883E-3</v>
      </c>
      <c r="G66" s="2"/>
      <c r="H66" s="7">
        <v>1300</v>
      </c>
      <c r="I66" s="2"/>
      <c r="J66" s="6">
        <f t="shared" si="29"/>
        <v>5.4111427917334391E-3</v>
      </c>
      <c r="K66" s="2"/>
      <c r="L66" s="7">
        <f t="shared" si="30"/>
        <v>-710</v>
      </c>
      <c r="M66" s="2"/>
      <c r="N66" s="6">
        <f t="shared" si="31"/>
        <v>-0.5461538461538461</v>
      </c>
      <c r="O66" s="11"/>
      <c r="P66" s="7">
        <v>4080</v>
      </c>
      <c r="Q66" s="2"/>
      <c r="R66" s="6">
        <f t="shared" si="32"/>
        <v>6.649934475327017E-3</v>
      </c>
      <c r="S66" s="2"/>
      <c r="T66" s="7">
        <v>4790</v>
      </c>
      <c r="U66" s="2"/>
      <c r="V66" s="6">
        <f t="shared" si="33"/>
        <v>5.3571328714344035E-3</v>
      </c>
      <c r="W66" s="2"/>
      <c r="X66" s="7">
        <f t="shared" si="34"/>
        <v>-710</v>
      </c>
      <c r="Y66" s="2"/>
      <c r="Z66" s="6">
        <f t="shared" si="35"/>
        <v>-0.14822546972860126</v>
      </c>
    </row>
    <row r="67" spans="1:26" s="28" customFormat="1" outlineLevel="1" collapsed="1" x14ac:dyDescent="0.25">
      <c r="A67" s="27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SUM(OSRRefD22_8x_0)</f>
        <v>-150.09</v>
      </c>
      <c r="E67" s="1"/>
      <c r="F67" s="5">
        <f t="shared" si="28"/>
        <v>-8.5834376882398681E-4</v>
      </c>
      <c r="G67" s="1"/>
      <c r="H67" s="1">
        <f>SUM(OSRRefH22_8x_0)</f>
        <v>310</v>
      </c>
      <c r="I67" s="1"/>
      <c r="J67" s="5">
        <f t="shared" si="29"/>
        <v>1.2903494349518201E-3</v>
      </c>
      <c r="K67" s="1"/>
      <c r="L67" s="1">
        <f t="shared" si="30"/>
        <v>-460.09000000000003</v>
      </c>
      <c r="M67" s="1"/>
      <c r="N67" s="5">
        <f t="shared" si="31"/>
        <v>-1.4841612903225807</v>
      </c>
      <c r="O67" s="14"/>
      <c r="P67" s="1">
        <f>SUM(OSRRefP22_8x_0)</f>
        <v>3059.19</v>
      </c>
      <c r="Q67" s="1"/>
      <c r="R67" s="5">
        <f t="shared" si="32"/>
        <v>4.9861306489156019E-3</v>
      </c>
      <c r="S67" s="1"/>
      <c r="T67" s="1">
        <f>SUM(OSRRefT22_8x_0)</f>
        <v>930</v>
      </c>
      <c r="U67" s="1"/>
      <c r="V67" s="5">
        <f t="shared" si="33"/>
        <v>1.0401113925749468E-3</v>
      </c>
      <c r="W67" s="1"/>
      <c r="X67" s="1">
        <f t="shared" si="34"/>
        <v>2129.19</v>
      </c>
      <c r="Y67" s="1"/>
      <c r="Z67" s="5">
        <f t="shared" si="35"/>
        <v>2.2894516129032261</v>
      </c>
    </row>
    <row r="68" spans="1:26" s="24" customFormat="1" hidden="1" outlineLevel="2" x14ac:dyDescent="0.25">
      <c r="A68" s="29"/>
      <c r="B68" s="11" t="str">
        <f>CONCATENATE("          ", "6241", " - ", "OFFICE EXPENSE")</f>
        <v xml:space="preserve">          6241 - OFFICE EXPENSE</v>
      </c>
      <c r="C68" s="11"/>
      <c r="D68" s="7">
        <v>-150.09</v>
      </c>
      <c r="E68" s="2"/>
      <c r="F68" s="6">
        <f t="shared" si="28"/>
        <v>-8.5834376882398681E-4</v>
      </c>
      <c r="G68" s="2"/>
      <c r="H68" s="7">
        <v>110</v>
      </c>
      <c r="I68" s="2"/>
      <c r="J68" s="6">
        <f t="shared" si="29"/>
        <v>4.5786592853129098E-4</v>
      </c>
      <c r="K68" s="2"/>
      <c r="L68" s="7">
        <f t="shared" si="30"/>
        <v>-260.09000000000003</v>
      </c>
      <c r="M68" s="2"/>
      <c r="N68" s="6">
        <f t="shared" si="31"/>
        <v>-2.3644545454545458</v>
      </c>
      <c r="O68" s="11"/>
      <c r="P68" s="7">
        <v>147.19</v>
      </c>
      <c r="Q68" s="2"/>
      <c r="R68" s="6">
        <f t="shared" si="32"/>
        <v>2.3990290574102537E-4</v>
      </c>
      <c r="S68" s="2"/>
      <c r="T68" s="7">
        <v>330</v>
      </c>
      <c r="U68" s="2"/>
      <c r="V68" s="6">
        <f t="shared" si="33"/>
        <v>3.6907178446207787E-4</v>
      </c>
      <c r="W68" s="2"/>
      <c r="X68" s="7">
        <f t="shared" si="34"/>
        <v>-182.81</v>
      </c>
      <c r="Y68" s="2"/>
      <c r="Z68" s="6">
        <f t="shared" si="35"/>
        <v>-0.553969696969697</v>
      </c>
    </row>
    <row r="69" spans="1:26" s="24" customFormat="1" hidden="1" outlineLevel="2" x14ac:dyDescent="0.25">
      <c r="A69" s="29"/>
      <c r="B69" s="11" t="str">
        <f>CONCATENATE("          ", "6247", " - ", "STORE SUPPLIES")</f>
        <v xml:space="preserve">          6247 - STORE SUPPLIES</v>
      </c>
      <c r="C69" s="11"/>
      <c r="D69" s="7"/>
      <c r="E69" s="2"/>
      <c r="F69" s="6">
        <f t="shared" si="28"/>
        <v>0</v>
      </c>
      <c r="G69" s="2"/>
      <c r="H69" s="7">
        <v>200</v>
      </c>
      <c r="I69" s="2"/>
      <c r="J69" s="6">
        <f t="shared" si="29"/>
        <v>8.3248350642052907E-4</v>
      </c>
      <c r="K69" s="2"/>
      <c r="L69" s="7">
        <f t="shared" si="30"/>
        <v>-200</v>
      </c>
      <c r="M69" s="2"/>
      <c r="N69" s="6">
        <f t="shared" si="31"/>
        <v>-1</v>
      </c>
      <c r="O69" s="11"/>
      <c r="P69" s="7">
        <v>2912</v>
      </c>
      <c r="Q69" s="2"/>
      <c r="R69" s="6">
        <f t="shared" si="32"/>
        <v>4.746227743174577E-3</v>
      </c>
      <c r="S69" s="2"/>
      <c r="T69" s="7">
        <v>600</v>
      </c>
      <c r="U69" s="2"/>
      <c r="V69" s="6">
        <f t="shared" si="33"/>
        <v>6.7103960811286888E-4</v>
      </c>
      <c r="W69" s="2"/>
      <c r="X69" s="7">
        <f t="shared" si="34"/>
        <v>2312</v>
      </c>
      <c r="Y69" s="2"/>
      <c r="Z69" s="6">
        <f t="shared" si="35"/>
        <v>3.8533333333333335</v>
      </c>
    </row>
    <row r="70" spans="1:26" s="28" customFormat="1" outlineLevel="1" collapsed="1" x14ac:dyDescent="0.25">
      <c r="A70" s="27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SUM(OSRRefD22_9x_0)</f>
        <v>194.95</v>
      </c>
      <c r="E70" s="1"/>
      <c r="F70" s="5">
        <f t="shared" ref="F70:F71" si="36">IF(D$12=0,0,D70/D$12)</f>
        <v>1.1148918497717118E-3</v>
      </c>
      <c r="G70" s="1"/>
      <c r="H70" s="1">
        <f>SUM(OSRRefH22_9x_0)</f>
        <v>325</v>
      </c>
      <c r="I70" s="1"/>
      <c r="J70" s="5">
        <f t="shared" ref="J70:J71" si="37">IF(H$12=0,0,H70/H$12)</f>
        <v>1.3527856979333598E-3</v>
      </c>
      <c r="K70" s="1"/>
      <c r="L70" s="1">
        <f t="shared" ref="L70:L71" si="38">+D70-H70</f>
        <v>-130.05000000000001</v>
      </c>
      <c r="M70" s="1"/>
      <c r="N70" s="5">
        <f t="shared" ref="N70:N71" si="39">IF(H70=0,0,L70/H70)</f>
        <v>-0.40015384615384619</v>
      </c>
      <c r="O70" s="14"/>
      <c r="P70" s="1">
        <f>SUM(OSRRefP22_9x_0)</f>
        <v>646.45000000000005</v>
      </c>
      <c r="Q70" s="1"/>
      <c r="R70" s="5">
        <f t="shared" ref="R70:R71" si="40">IF(P$12=0,0,P70/P$12)</f>
        <v>1.0536397405821447E-3</v>
      </c>
      <c r="S70" s="1"/>
      <c r="T70" s="1">
        <f>SUM(OSRRefT22_9x_0)</f>
        <v>975</v>
      </c>
      <c r="U70" s="1"/>
      <c r="V70" s="5">
        <f t="shared" ref="V70:V71" si="41">IF(T$12=0,0,T70/T$12)</f>
        <v>1.0904393631834119E-3</v>
      </c>
      <c r="W70" s="1"/>
      <c r="X70" s="1">
        <f t="shared" ref="X70:X71" si="42">+P70-T70</f>
        <v>-328.54999999999995</v>
      </c>
      <c r="Y70" s="1"/>
      <c r="Z70" s="5">
        <f t="shared" ref="Z70:Z71" si="43">IF(T70=0,0,X70/T70)</f>
        <v>-0.3369743589743589</v>
      </c>
    </row>
    <row r="71" spans="1:26" s="24" customFormat="1" hidden="1" outlineLevel="2" x14ac:dyDescent="0.25">
      <c r="A71" s="29"/>
      <c r="B71" s="11" t="str">
        <f>CONCATENATE("          ", "6309", " - ", "TELEPHONE")</f>
        <v xml:space="preserve">          6309 - TELEPHONE</v>
      </c>
      <c r="C71" s="11"/>
      <c r="D71" s="7">
        <v>194.95</v>
      </c>
      <c r="E71" s="2"/>
      <c r="F71" s="6">
        <f t="shared" si="36"/>
        <v>1.1148918497717118E-3</v>
      </c>
      <c r="G71" s="2"/>
      <c r="H71" s="7">
        <v>325</v>
      </c>
      <c r="I71" s="2"/>
      <c r="J71" s="6">
        <f t="shared" si="37"/>
        <v>1.3527856979333598E-3</v>
      </c>
      <c r="K71" s="2"/>
      <c r="L71" s="7">
        <f t="shared" si="38"/>
        <v>-130.05000000000001</v>
      </c>
      <c r="M71" s="2"/>
      <c r="N71" s="6">
        <f t="shared" si="39"/>
        <v>-0.40015384615384619</v>
      </c>
      <c r="O71" s="11"/>
      <c r="P71" s="7">
        <v>646.45000000000005</v>
      </c>
      <c r="Q71" s="2"/>
      <c r="R71" s="6">
        <f t="shared" si="40"/>
        <v>1.0536397405821447E-3</v>
      </c>
      <c r="S71" s="2"/>
      <c r="T71" s="7">
        <v>975</v>
      </c>
      <c r="U71" s="2"/>
      <c r="V71" s="6">
        <f t="shared" si="41"/>
        <v>1.0904393631834119E-3</v>
      </c>
      <c r="W71" s="2"/>
      <c r="X71" s="7">
        <f t="shared" si="42"/>
        <v>-328.54999999999995</v>
      </c>
      <c r="Y71" s="2"/>
      <c r="Z71" s="6">
        <f t="shared" si="43"/>
        <v>-0.3369743589743589</v>
      </c>
    </row>
    <row r="72" spans="1:26" s="58" customFormat="1" x14ac:dyDescent="0.25">
      <c r="A72" s="36"/>
      <c r="B72" s="36"/>
      <c r="C72" s="36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6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collapsed="1" x14ac:dyDescent="0.25">
      <c r="A73" s="10"/>
      <c r="B73" s="26" t="s">
        <v>293</v>
      </c>
      <c r="C73" s="10"/>
      <c r="D73" s="4">
        <f>SUM(OSRRefD25x_0)</f>
        <v>390.11</v>
      </c>
      <c r="E73" s="4"/>
      <c r="F73" s="12">
        <f t="shared" ref="F73:F76" si="44">IF(D$12=0,0,D73/D$12)</f>
        <v>2.2309846602433575E-3</v>
      </c>
      <c r="G73" s="4"/>
      <c r="H73" s="4">
        <f>SUM(OSRRefH25x_0)</f>
        <v>2293</v>
      </c>
      <c r="I73" s="4"/>
      <c r="J73" s="12">
        <f t="shared" ref="J73:J76" si="45">IF(H$12=0,0,H73/H$12)</f>
        <v>9.5444234011113661E-3</v>
      </c>
      <c r="K73" s="4"/>
      <c r="L73" s="4">
        <f t="shared" ref="L73:L76" si="46">+D73-H73</f>
        <v>-1902.8899999999999</v>
      </c>
      <c r="M73" s="4"/>
      <c r="N73" s="12">
        <f t="shared" ref="N73:N76" si="47">IF(H73=0,0,L73/H73)</f>
        <v>-0.8298691670300915</v>
      </c>
      <c r="O73" s="10"/>
      <c r="P73" s="4">
        <f>SUM(OSRRefP25x_0)</f>
        <v>2771.44</v>
      </c>
      <c r="Q73" s="4"/>
      <c r="R73" s="12">
        <f t="shared" ref="R73:R76" si="48">IF(P$12=0,0,P73/P$12)</f>
        <v>4.5171309809559574E-3</v>
      </c>
      <c r="S73" s="4"/>
      <c r="T73" s="4">
        <f>SUM(OSRRefT25x_0)</f>
        <v>8533</v>
      </c>
      <c r="U73" s="4"/>
      <c r="V73" s="12">
        <f t="shared" ref="V73:V76" si="49">IF(T$12=0,0,T73/T$12)</f>
        <v>9.5433016267118496E-3</v>
      </c>
      <c r="W73" s="4"/>
      <c r="X73" s="4">
        <f t="shared" ref="X73:X76" si="50">+P73-T73</f>
        <v>-5761.5599999999995</v>
      </c>
      <c r="Y73" s="4"/>
      <c r="Z73" s="12">
        <f t="shared" ref="Z73:Z76" si="51">IF(T73=0,0,X73/T73)</f>
        <v>-0.67520918785890072</v>
      </c>
    </row>
    <row r="74" spans="1:26" s="24" customFormat="1" hidden="1" outlineLevel="1" x14ac:dyDescent="0.25">
      <c r="A74" s="44"/>
      <c r="B74" s="11" t="str">
        <f>CONCATENATE("          ", "4187", " - ", "NON-TAXABLE SALES-COMPUTER REP")</f>
        <v xml:space="preserve">          4187 - NON-TAXABLE SALES-COMPUTER REP</v>
      </c>
      <c r="C74" s="11"/>
      <c r="D74" s="2">
        <f>0</f>
        <v>0</v>
      </c>
      <c r="E74" s="2"/>
      <c r="F74" s="19">
        <f t="shared" si="44"/>
        <v>0</v>
      </c>
      <c r="G74" s="2"/>
      <c r="H74" s="2"/>
      <c r="I74" s="2"/>
      <c r="J74" s="19">
        <f t="shared" si="45"/>
        <v>0</v>
      </c>
      <c r="K74" s="2"/>
      <c r="L74" s="2">
        <f t="shared" si="46"/>
        <v>0</v>
      </c>
      <c r="M74" s="2"/>
      <c r="N74" s="19">
        <f t="shared" si="47"/>
        <v>0</v>
      </c>
      <c r="O74" s="11"/>
      <c r="P74" s="2">
        <f>0</f>
        <v>0</v>
      </c>
      <c r="Q74" s="2"/>
      <c r="R74" s="19">
        <f t="shared" si="48"/>
        <v>0</v>
      </c>
      <c r="S74" s="2"/>
      <c r="T74" s="2"/>
      <c r="U74" s="2"/>
      <c r="V74" s="19">
        <f t="shared" si="49"/>
        <v>0</v>
      </c>
      <c r="W74" s="2"/>
      <c r="X74" s="2">
        <f t="shared" si="50"/>
        <v>0</v>
      </c>
      <c r="Y74" s="2"/>
      <c r="Z74" s="19">
        <f t="shared" si="51"/>
        <v>0</v>
      </c>
    </row>
    <row r="75" spans="1:26" s="24" customFormat="1" hidden="1" outlineLevel="1" x14ac:dyDescent="0.25">
      <c r="A75" s="44"/>
      <c r="B75" s="11" t="str">
        <f>CONCATENATE("          ", "9087", " - ", "")</f>
        <v xml:space="preserve">          9087 - </v>
      </c>
      <c r="C75" s="11"/>
      <c r="D75" s="2">
        <f>-656.36</f>
        <v>-656.36</v>
      </c>
      <c r="E75" s="2"/>
      <c r="F75" s="19">
        <f t="shared" si="44"/>
        <v>-3.7536312619449127E-3</v>
      </c>
      <c r="G75" s="2"/>
      <c r="H75" s="2"/>
      <c r="I75" s="2"/>
      <c r="J75" s="19">
        <f t="shared" si="45"/>
        <v>0</v>
      </c>
      <c r="K75" s="2"/>
      <c r="L75" s="2">
        <f t="shared" si="46"/>
        <v>-656.36</v>
      </c>
      <c r="M75" s="2"/>
      <c r="N75" s="19">
        <f t="shared" si="47"/>
        <v>0</v>
      </c>
      <c r="O75" s="11"/>
      <c r="P75" s="2">
        <f>--363.65</f>
        <v>363.65</v>
      </c>
      <c r="Q75" s="2"/>
      <c r="R75" s="19">
        <f t="shared" si="48"/>
        <v>5.9270800783153658E-4</v>
      </c>
      <c r="S75" s="2"/>
      <c r="T75" s="2"/>
      <c r="U75" s="2"/>
      <c r="V75" s="19">
        <f t="shared" si="49"/>
        <v>0</v>
      </c>
      <c r="W75" s="2"/>
      <c r="X75" s="2">
        <f t="shared" si="50"/>
        <v>363.65</v>
      </c>
      <c r="Y75" s="2"/>
      <c r="Z75" s="19">
        <f t="shared" si="51"/>
        <v>0</v>
      </c>
    </row>
    <row r="76" spans="1:26" s="24" customFormat="1" hidden="1" outlineLevel="1" x14ac:dyDescent="0.25">
      <c r="A76" s="44"/>
      <c r="B76" s="11" t="str">
        <f>CONCATENATE("          ", "9150", " - ", "MISC. INCOME")</f>
        <v xml:space="preserve">          9150 - MISC. INCOME</v>
      </c>
      <c r="C76" s="11"/>
      <c r="D76" s="2">
        <f>--1046.47</f>
        <v>1046.47</v>
      </c>
      <c r="E76" s="2"/>
      <c r="F76" s="19">
        <f t="shared" si="44"/>
        <v>5.9846159221882706E-3</v>
      </c>
      <c r="G76" s="2"/>
      <c r="H76" s="2">
        <v>2293</v>
      </c>
      <c r="I76" s="2"/>
      <c r="J76" s="19">
        <f t="shared" si="45"/>
        <v>9.5444234011113661E-3</v>
      </c>
      <c r="K76" s="2"/>
      <c r="L76" s="2">
        <f t="shared" si="46"/>
        <v>-1246.53</v>
      </c>
      <c r="M76" s="2"/>
      <c r="N76" s="19">
        <f t="shared" si="47"/>
        <v>-0.54362407326646311</v>
      </c>
      <c r="O76" s="11"/>
      <c r="P76" s="2">
        <f>--2407.79</f>
        <v>2407.79</v>
      </c>
      <c r="Q76" s="2"/>
      <c r="R76" s="19">
        <f t="shared" si="48"/>
        <v>3.9244229731244208E-3</v>
      </c>
      <c r="S76" s="2"/>
      <c r="T76" s="2">
        <v>8533</v>
      </c>
      <c r="U76" s="2"/>
      <c r="V76" s="19">
        <f t="shared" si="49"/>
        <v>9.5433016267118496E-3</v>
      </c>
      <c r="W76" s="2"/>
      <c r="X76" s="2">
        <f t="shared" si="50"/>
        <v>-6125.21</v>
      </c>
      <c r="Y76" s="2"/>
      <c r="Z76" s="19">
        <f t="shared" si="51"/>
        <v>-0.71782608695652173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5" t="s">
        <v>277</v>
      </c>
      <c r="C78" s="25"/>
      <c r="D78" s="21">
        <f>+D30-D32+D73</f>
        <v>45781.109999999971</v>
      </c>
      <c r="E78" s="13"/>
      <c r="F78" s="20">
        <f>IF(D$12=0,0,D78/D$12)</f>
        <v>0.26181578052065752</v>
      </c>
      <c r="G78" s="13"/>
      <c r="H78" s="21">
        <f>+H30-H32+H73</f>
        <v>11890.25201513</v>
      </c>
      <c r="I78" s="13"/>
      <c r="J78" s="20">
        <f>IF(H$12=0,0,H78/H$12)</f>
        <v>4.9492193448895917E-2</v>
      </c>
      <c r="K78" s="16"/>
      <c r="L78" s="21">
        <f>+D78-H78</f>
        <v>33890.857984869974</v>
      </c>
      <c r="M78" s="16"/>
      <c r="N78" s="20">
        <f>IF(H78=0,0,L78/H78)</f>
        <v>2.8503061114049428</v>
      </c>
      <c r="O78" s="26"/>
      <c r="P78" s="21">
        <f>+P30-P32+P73</f>
        <v>81752.719999999856</v>
      </c>
      <c r="Q78" s="13"/>
      <c r="R78" s="20">
        <f>IF(P$12=0,0,P78/P$12)</f>
        <v>0.13324760568131264</v>
      </c>
      <c r="S78" s="13"/>
      <c r="T78" s="21">
        <f>+T30-T32+T73</f>
        <v>52150.2886691725</v>
      </c>
      <c r="U78" s="13"/>
      <c r="V78" s="20">
        <f>IF(T$12=0,0,T78/T$12)</f>
        <v>5.832484878589083E-2</v>
      </c>
      <c r="W78" s="16"/>
      <c r="X78" s="21">
        <f>+P78-T78</f>
        <v>29602.431330827356</v>
      </c>
      <c r="Y78" s="16"/>
      <c r="Z78" s="20">
        <f>IF(T78=0,0,X78/T78)</f>
        <v>0.56763696014450227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128</v>
      </c>
      <c r="C80" s="10"/>
      <c r="D80" s="4">
        <v>10388.01</v>
      </c>
      <c r="E80" s="4"/>
      <c r="F80" s="12">
        <f>IF(D$12=0,0,D80/D$12)</f>
        <v>5.9407579811987896E-2</v>
      </c>
      <c r="G80" s="4"/>
      <c r="H80" s="4">
        <v>23858</v>
      </c>
      <c r="I80" s="4"/>
      <c r="J80" s="12">
        <f>IF(H$12=0,0,H80/H$12)</f>
        <v>9.9306957480904914E-2</v>
      </c>
      <c r="K80" s="4"/>
      <c r="L80" s="4">
        <f>+D80-H80</f>
        <v>-13469.99</v>
      </c>
      <c r="M80" s="4"/>
      <c r="N80" s="12">
        <f>IF(H80=0,0,L80/H80)</f>
        <v>-0.56459007460809796</v>
      </c>
      <c r="O80" s="10"/>
      <c r="P80" s="4">
        <v>75941.279999999999</v>
      </c>
      <c r="Q80" s="4"/>
      <c r="R80" s="12">
        <f>IF(P$12=0,0,P80/P$12)</f>
        <v>0.12377562156187795</v>
      </c>
      <c r="S80" s="4"/>
      <c r="T80" s="4">
        <v>97090</v>
      </c>
      <c r="U80" s="4"/>
      <c r="V80" s="12">
        <f>IF(T$12=0,0,T80/T$12)</f>
        <v>0.10858539258613073</v>
      </c>
      <c r="W80" s="4"/>
      <c r="X80" s="4">
        <f>+P80-T80</f>
        <v>-21148.720000000001</v>
      </c>
      <c r="Y80" s="4"/>
      <c r="Z80" s="12">
        <f>IF(T80=0,0,X80/T80)</f>
        <v>-0.21782593469976311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5" t="s">
        <v>126</v>
      </c>
      <c r="C82" s="25"/>
      <c r="D82" s="33">
        <f>+D78-D80</f>
        <v>35393.099999999969</v>
      </c>
      <c r="E82" s="13"/>
      <c r="F82" s="31">
        <f>IF(D$12=0,0,D82/D$12)</f>
        <v>0.20240820070866961</v>
      </c>
      <c r="G82" s="13"/>
      <c r="H82" s="33">
        <f>+H78-H80</f>
        <v>-11967.74798487</v>
      </c>
      <c r="I82" s="13"/>
      <c r="J82" s="31">
        <f>IF(H$12=0,0,H82/H$12)</f>
        <v>-4.981476403200899E-2</v>
      </c>
      <c r="K82" s="16"/>
      <c r="L82" s="33">
        <f>D82-H82</f>
        <v>47360.847984869972</v>
      </c>
      <c r="M82" s="16"/>
      <c r="N82" s="31">
        <f>IF(H82=0,0,L82/H82)</f>
        <v>-3.957373437738247</v>
      </c>
      <c r="O82" s="26"/>
      <c r="P82" s="33">
        <f>+P78-P80</f>
        <v>5811.4399999998568</v>
      </c>
      <c r="Q82" s="13"/>
      <c r="R82" s="31">
        <f>IF(P$12=0,0,P82/P$12)</f>
        <v>9.4719841194346784E-3</v>
      </c>
      <c r="S82" s="13"/>
      <c r="T82" s="33">
        <f>+T78-T80</f>
        <v>-44939.7113308275</v>
      </c>
      <c r="U82" s="13"/>
      <c r="V82" s="31">
        <f>IF(T$12=0,0,T82/T$12)</f>
        <v>-5.02605438002399E-2</v>
      </c>
      <c r="W82" s="16"/>
      <c r="X82" s="33">
        <f>P82-T82</f>
        <v>50751.151330827357</v>
      </c>
      <c r="Y82" s="16"/>
      <c r="Z82" s="31">
        <f>IF(T82=0,0,X82/T82)</f>
        <v>-1.1293163624754607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5" t="s">
        <v>294</v>
      </c>
      <c r="C85" s="25"/>
      <c r="D85" s="35">
        <f>SUM(D82:D84)</f>
        <v>35393.099999999969</v>
      </c>
      <c r="E85" s="13"/>
      <c r="F85" s="34">
        <f>IF(D$12=0,0,D85/D$12)</f>
        <v>0.20240820070866961</v>
      </c>
      <c r="G85" s="13"/>
      <c r="H85" s="35">
        <f>SUM(H82:H84)</f>
        <v>-11967.74798487</v>
      </c>
      <c r="I85" s="13"/>
      <c r="J85" s="34">
        <f>IF(H$12=0,0,H85/H$12)</f>
        <v>-4.981476403200899E-2</v>
      </c>
      <c r="K85" s="16"/>
      <c r="L85" s="35">
        <f>+D85-H85</f>
        <v>47360.847984869972</v>
      </c>
      <c r="M85" s="16"/>
      <c r="N85" s="34">
        <f>IF(H85=0,0,L85/H85)</f>
        <v>-3.957373437738247</v>
      </c>
      <c r="O85" s="26"/>
      <c r="P85" s="35">
        <f>SUM(P82:P84)</f>
        <v>5811.4399999998568</v>
      </c>
      <c r="Q85" s="13"/>
      <c r="R85" s="34">
        <f>IF(P$12=0,0,P85/P$12)</f>
        <v>9.4719841194346784E-3</v>
      </c>
      <c r="S85" s="13"/>
      <c r="T85" s="35">
        <f>SUM(T82:T84)</f>
        <v>-44939.7113308275</v>
      </c>
      <c r="U85" s="13"/>
      <c r="V85" s="34">
        <f>IF(T$12=0,0,T85/T$12)</f>
        <v>-5.02605438002399E-2</v>
      </c>
      <c r="W85" s="16"/>
      <c r="X85" s="35">
        <f>+P85-T85</f>
        <v>50751.151330827357</v>
      </c>
      <c r="Y85" s="16"/>
      <c r="Z85" s="34">
        <f>IF(T85=0,0,X85/T85)</f>
        <v>-1.1293163624754607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61">
        <v>44481.978956793981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56" t="s">
        <v>56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4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outlinePr summaryBelow="0" summaryRight="0"/>
  </sheetPr>
  <dimension ref="A2:Z10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199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16112.9</v>
      </c>
      <c r="E12" s="4"/>
      <c r="F12" s="12"/>
      <c r="G12" s="4"/>
      <c r="H12" s="4">
        <f>SUM(OSRRefH13x_0)</f>
        <v>41501</v>
      </c>
      <c r="I12" s="4"/>
      <c r="J12" s="12"/>
      <c r="K12" s="4"/>
      <c r="L12" s="4">
        <f t="shared" ref="L12:L16" si="0">+D12-H12</f>
        <v>-25388.1</v>
      </c>
      <c r="M12" s="4"/>
      <c r="N12" s="12">
        <f t="shared" ref="N12:N16" si="1">IF(H12=0,0,L12/H12)</f>
        <v>-0.61174670489867711</v>
      </c>
      <c r="O12" s="10"/>
      <c r="P12" s="4">
        <f>SUM(OSRRefP13x_0)</f>
        <v>22778.039999999997</v>
      </c>
      <c r="Q12" s="4"/>
      <c r="R12" s="12"/>
      <c r="S12" s="4"/>
      <c r="T12" s="4">
        <f>SUM(OSRRefT13x_0)</f>
        <v>54015</v>
      </c>
      <c r="U12" s="4"/>
      <c r="V12" s="12"/>
      <c r="W12" s="4"/>
      <c r="X12" s="4">
        <f t="shared" ref="X12:X16" si="2">+P12-T12</f>
        <v>-31236.960000000003</v>
      </c>
      <c r="Y12" s="4"/>
      <c r="Z12" s="12">
        <f t="shared" ref="Z12:Z16" si="3">IF(T12=0,0,X12/T12)</f>
        <v>-0.57830158289364075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--2858.93</f>
        <v>2858.93</v>
      </c>
      <c r="E13" s="2"/>
      <c r="F13" s="19"/>
      <c r="G13" s="2"/>
      <c r="H13" s="2">
        <v>8144</v>
      </c>
      <c r="I13" s="2"/>
      <c r="J13" s="19"/>
      <c r="K13" s="2"/>
      <c r="L13" s="2">
        <f t="shared" si="0"/>
        <v>-5285.07</v>
      </c>
      <c r="M13" s="2"/>
      <c r="N13" s="19">
        <f t="shared" si="1"/>
        <v>-0.64895260314341841</v>
      </c>
      <c r="O13" s="11"/>
      <c r="P13" s="2">
        <f>--4093.85</f>
        <v>4093.85</v>
      </c>
      <c r="Q13" s="2"/>
      <c r="R13" s="19"/>
      <c r="S13" s="2"/>
      <c r="T13" s="2">
        <v>10630</v>
      </c>
      <c r="U13" s="2"/>
      <c r="V13" s="19"/>
      <c r="W13" s="2"/>
      <c r="X13" s="2">
        <f t="shared" si="2"/>
        <v>-6536.15</v>
      </c>
      <c r="Y13" s="2"/>
      <c r="Z13" s="19">
        <f t="shared" si="3"/>
        <v>-0.61487770460959545</v>
      </c>
    </row>
    <row r="14" spans="1:26" s="24" customFormat="1" hidden="1" outlineLevel="1" x14ac:dyDescent="0.25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>--139.09</f>
        <v>139.09</v>
      </c>
      <c r="E14" s="2"/>
      <c r="F14" s="19"/>
      <c r="G14" s="2"/>
      <c r="H14" s="2"/>
      <c r="I14" s="2"/>
      <c r="J14" s="19"/>
      <c r="K14" s="2"/>
      <c r="L14" s="2">
        <f t="shared" si="0"/>
        <v>139.09</v>
      </c>
      <c r="M14" s="2"/>
      <c r="N14" s="19">
        <f t="shared" si="1"/>
        <v>0</v>
      </c>
      <c r="O14" s="11"/>
      <c r="P14" s="2">
        <f>--139.09</f>
        <v>139.09</v>
      </c>
      <c r="Q14" s="2"/>
      <c r="R14" s="19"/>
      <c r="S14" s="2"/>
      <c r="T14" s="2"/>
      <c r="U14" s="2"/>
      <c r="V14" s="19"/>
      <c r="W14" s="2"/>
      <c r="X14" s="2">
        <f t="shared" si="2"/>
        <v>139.09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--13245.23</f>
        <v>13245.23</v>
      </c>
      <c r="E15" s="2"/>
      <c r="F15" s="19"/>
      <c r="G15" s="2"/>
      <c r="H15" s="2">
        <v>33357</v>
      </c>
      <c r="I15" s="2"/>
      <c r="J15" s="19"/>
      <c r="K15" s="2"/>
      <c r="L15" s="2">
        <f t="shared" si="0"/>
        <v>-20111.77</v>
      </c>
      <c r="M15" s="2"/>
      <c r="N15" s="19">
        <f t="shared" si="1"/>
        <v>-0.60292502323350428</v>
      </c>
      <c r="O15" s="11"/>
      <c r="P15" s="2">
        <f>--18545.1</f>
        <v>18545.099999999999</v>
      </c>
      <c r="Q15" s="2"/>
      <c r="R15" s="19"/>
      <c r="S15" s="2"/>
      <c r="T15" s="2">
        <v>43385</v>
      </c>
      <c r="U15" s="2"/>
      <c r="V15" s="19"/>
      <c r="W15" s="2"/>
      <c r="X15" s="2">
        <f t="shared" si="2"/>
        <v>-24839.9</v>
      </c>
      <c r="Y15" s="2"/>
      <c r="Z15" s="19">
        <f t="shared" si="3"/>
        <v>-0.57254581076408906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-130.35</f>
        <v>-130.35</v>
      </c>
      <c r="E16" s="2"/>
      <c r="F16" s="19"/>
      <c r="G16" s="2"/>
      <c r="H16" s="2"/>
      <c r="I16" s="2"/>
      <c r="J16" s="19"/>
      <c r="K16" s="2"/>
      <c r="L16" s="2">
        <f t="shared" si="0"/>
        <v>-130.35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/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257</v>
      </c>
      <c r="C18" s="10"/>
      <c r="D18" s="4">
        <f>SUM(OSRRefD16x_0)</f>
        <v>7971.7199999999993</v>
      </c>
      <c r="E18" s="4"/>
      <c r="F18" s="12">
        <f t="shared" ref="F18:F21" si="4">IF(D$12=0,0,D18/D$12)</f>
        <v>0.49474148042872479</v>
      </c>
      <c r="G18" s="4"/>
      <c r="H18" s="4">
        <f>SUM(OSRRefH16x_0)</f>
        <v>20336</v>
      </c>
      <c r="I18" s="4"/>
      <c r="J18" s="12">
        <f t="shared" ref="J18:J21" si="5">IF(H$12=0,0,H18/H$12)</f>
        <v>0.4900122888605094</v>
      </c>
      <c r="K18" s="4"/>
      <c r="L18" s="4">
        <f t="shared" ref="L18:L21" si="6">+D18-H18</f>
        <v>-12364.28</v>
      </c>
      <c r="M18" s="4"/>
      <c r="N18" s="12">
        <f t="shared" ref="N18:N21" si="7">IF(H18=0,0,L18/H18)</f>
        <v>-0.60799960660896935</v>
      </c>
      <c r="O18" s="10"/>
      <c r="P18" s="4">
        <f>SUM(OSRRefP16x_0)</f>
        <v>11218.28</v>
      </c>
      <c r="Q18" s="4"/>
      <c r="R18" s="12">
        <f t="shared" ref="R18:R21" si="8">IF(P$12=0,0,P18/P$12)</f>
        <v>0.49250418385427375</v>
      </c>
      <c r="S18" s="4"/>
      <c r="T18" s="4">
        <f>SUM(OSRRefT16x_0)</f>
        <v>26469</v>
      </c>
      <c r="U18" s="4"/>
      <c r="V18" s="12">
        <f t="shared" ref="V18:V21" si="9">IF(T$12=0,0,T18/T$12)</f>
        <v>0.49003054707025828</v>
      </c>
      <c r="W18" s="4"/>
      <c r="X18" s="4">
        <f t="shared" ref="X18:X21" si="10">+P18-T18</f>
        <v>-15250.72</v>
      </c>
      <c r="Y18" s="4"/>
      <c r="Z18" s="12">
        <f t="shared" ref="Z18:Z21" si="11">IF(T18=0,0,X18/T18)</f>
        <v>-0.57617288148400014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20336</v>
      </c>
      <c r="I19" s="2"/>
      <c r="J19" s="19">
        <f t="shared" si="5"/>
        <v>0.4900122888605094</v>
      </c>
      <c r="K19" s="2"/>
      <c r="L19" s="2">
        <f t="shared" si="6"/>
        <v>-20336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26469</v>
      </c>
      <c r="U19" s="2"/>
      <c r="V19" s="19">
        <f t="shared" si="9"/>
        <v>0.49003054707025828</v>
      </c>
      <c r="W19" s="2"/>
      <c r="X19" s="2">
        <f t="shared" si="10"/>
        <v>-26469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8370.32</v>
      </c>
      <c r="E20" s="2"/>
      <c r="F20" s="19">
        <f t="shared" si="4"/>
        <v>0.51947942331920383</v>
      </c>
      <c r="G20" s="2"/>
      <c r="H20" s="2"/>
      <c r="I20" s="2"/>
      <c r="J20" s="19">
        <f t="shared" si="5"/>
        <v>0</v>
      </c>
      <c r="K20" s="2"/>
      <c r="L20" s="2">
        <f t="shared" si="6"/>
        <v>8370.32</v>
      </c>
      <c r="M20" s="2"/>
      <c r="N20" s="19">
        <f t="shared" si="7"/>
        <v>0</v>
      </c>
      <c r="O20" s="11"/>
      <c r="P20" s="2">
        <v>23355.88</v>
      </c>
      <c r="Q20" s="2"/>
      <c r="R20" s="19">
        <f t="shared" si="8"/>
        <v>1.0253682933211112</v>
      </c>
      <c r="S20" s="2"/>
      <c r="T20" s="2"/>
      <c r="U20" s="2"/>
      <c r="V20" s="19">
        <f t="shared" si="9"/>
        <v>0</v>
      </c>
      <c r="W20" s="2"/>
      <c r="X20" s="2">
        <f t="shared" si="10"/>
        <v>23355.88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-398.6</v>
      </c>
      <c r="E21" s="2"/>
      <c r="F21" s="19">
        <f t="shared" si="4"/>
        <v>-2.4737942890479057E-2</v>
      </c>
      <c r="G21" s="2"/>
      <c r="H21" s="2"/>
      <c r="I21" s="2"/>
      <c r="J21" s="19">
        <f t="shared" si="5"/>
        <v>0</v>
      </c>
      <c r="K21" s="2"/>
      <c r="L21" s="2">
        <f t="shared" si="6"/>
        <v>-398.6</v>
      </c>
      <c r="M21" s="2"/>
      <c r="N21" s="19">
        <f t="shared" si="7"/>
        <v>0</v>
      </c>
      <c r="O21" s="11"/>
      <c r="P21" s="2">
        <v>-12137.6</v>
      </c>
      <c r="Q21" s="2"/>
      <c r="R21" s="19">
        <f t="shared" si="8"/>
        <v>-0.53286410946683749</v>
      </c>
      <c r="S21" s="2"/>
      <c r="T21" s="2"/>
      <c r="U21" s="2"/>
      <c r="V21" s="19">
        <f t="shared" si="9"/>
        <v>0</v>
      </c>
      <c r="W21" s="2"/>
      <c r="X21" s="2">
        <f t="shared" si="10"/>
        <v>-12137.6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108</v>
      </c>
      <c r="C23" s="25"/>
      <c r="D23" s="21">
        <f>D12-D18</f>
        <v>8141.18</v>
      </c>
      <c r="E23" s="13"/>
      <c r="F23" s="20">
        <f>IF(D$12=0,0,D23/D$12)</f>
        <v>0.50525851957127521</v>
      </c>
      <c r="G23" s="13"/>
      <c r="H23" s="21">
        <f>H12-H18</f>
        <v>21165</v>
      </c>
      <c r="I23" s="13"/>
      <c r="J23" s="20">
        <f>IF(H$12=0,0,H23/H$12)</f>
        <v>0.5099877111394906</v>
      </c>
      <c r="K23" s="16"/>
      <c r="L23" s="21">
        <f>+D23-H23</f>
        <v>-13023.82</v>
      </c>
      <c r="M23" s="16"/>
      <c r="N23" s="20">
        <f>IF(H23=0,0,L23/H23)</f>
        <v>-0.61534703519962197</v>
      </c>
      <c r="O23" s="26"/>
      <c r="P23" s="21">
        <f>P12-P18</f>
        <v>11559.759999999997</v>
      </c>
      <c r="Q23" s="13"/>
      <c r="R23" s="20">
        <f>IF(P$12=0,0,P23/P$12)</f>
        <v>0.50749581614572625</v>
      </c>
      <c r="S23" s="13"/>
      <c r="T23" s="21">
        <f>T12-T18</f>
        <v>27546</v>
      </c>
      <c r="U23" s="13"/>
      <c r="V23" s="20">
        <f>IF(T$12=0,0,T23/T$12)</f>
        <v>0.50996945292974172</v>
      </c>
      <c r="W23" s="16"/>
      <c r="X23" s="21">
        <f>+P23-T23</f>
        <v>-15986.240000000003</v>
      </c>
      <c r="Y23" s="16"/>
      <c r="Z23" s="20">
        <f>IF(T23=0,0,X23/T23)</f>
        <v>-0.58034705583387802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295</v>
      </c>
      <c r="C25" s="10"/>
      <c r="D25" s="22">
        <f>SUM(OSRRefD22x_0)</f>
        <v>18475.419999999998</v>
      </c>
      <c r="E25" s="22"/>
      <c r="F25" s="32">
        <f t="shared" ref="F25:F35" si="12">IF(D$12=0,0,D25/D$12)</f>
        <v>1.1466228922167951</v>
      </c>
      <c r="G25" s="22"/>
      <c r="H25" s="22">
        <f>SUM(OSRRefH22x_0)</f>
        <v>42294.831412307693</v>
      </c>
      <c r="I25" s="22"/>
      <c r="J25" s="32">
        <f t="shared" ref="J25:J35" si="13">IF(H$12=0,0,H25/H$12)</f>
        <v>1.0191280068506228</v>
      </c>
      <c r="K25" s="4"/>
      <c r="L25" s="22">
        <f t="shared" ref="L25:L35" si="14">+D25-H25</f>
        <v>-23819.411412307694</v>
      </c>
      <c r="M25" s="4"/>
      <c r="N25" s="32">
        <f t="shared" ref="N25:N35" si="15">IF(H25=0,0,L25/H25)</f>
        <v>-0.56317546652701167</v>
      </c>
      <c r="O25" s="10"/>
      <c r="P25" s="22">
        <f>SUM(OSRRefP22x_0)</f>
        <v>58486.74</v>
      </c>
      <c r="Q25" s="22"/>
      <c r="R25" s="32">
        <f t="shared" ref="R25:R35" si="16">IF(P$12=0,0,P25/P$12)</f>
        <v>2.5676809769409488</v>
      </c>
      <c r="S25" s="22"/>
      <c r="T25" s="22">
        <f>SUM(OSRRefT22x_0)</f>
        <v>97445.760515000002</v>
      </c>
      <c r="U25" s="22"/>
      <c r="V25" s="32">
        <f t="shared" ref="V25:V35" si="17">IF(T$12=0,0,T25/T$12)</f>
        <v>1.8040499956493568</v>
      </c>
      <c r="W25" s="4"/>
      <c r="X25" s="22">
        <f t="shared" ref="X25:X35" si="18">+P25-T25</f>
        <v>-38959.020515000004</v>
      </c>
      <c r="Y25" s="4"/>
      <c r="Z25" s="32">
        <f t="shared" ref="Z25:Z35" si="19">IF(T25=0,0,X25/T25)</f>
        <v>-0.39980210846630904</v>
      </c>
    </row>
    <row r="26" spans="1:26" s="28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259.75000000000006</v>
      </c>
      <c r="E26" s="1"/>
      <c r="F26" s="5">
        <f t="shared" si="12"/>
        <v>1.6120623847972745E-2</v>
      </c>
      <c r="G26" s="1"/>
      <c r="H26" s="1">
        <f>SUM(OSRRefH22_0x_0)</f>
        <v>4549.2621815384609</v>
      </c>
      <c r="I26" s="1"/>
      <c r="J26" s="5">
        <f t="shared" si="13"/>
        <v>0.10961813405793742</v>
      </c>
      <c r="K26" s="1"/>
      <c r="L26" s="1">
        <f t="shared" si="14"/>
        <v>-4289.5121815384609</v>
      </c>
      <c r="M26" s="1"/>
      <c r="N26" s="5">
        <f t="shared" si="15"/>
        <v>-0.94290282915456014</v>
      </c>
      <c r="O26" s="14"/>
      <c r="P26" s="1">
        <f>SUM(OSRRefP22_0x_0)</f>
        <v>544.19000000000005</v>
      </c>
      <c r="Q26" s="1"/>
      <c r="R26" s="5">
        <f t="shared" si="16"/>
        <v>2.3890993254906925E-2</v>
      </c>
      <c r="S26" s="1"/>
      <c r="T26" s="1">
        <f>SUM(OSRRefT22_0x_0)</f>
        <v>12583.465515</v>
      </c>
      <c r="U26" s="1"/>
      <c r="V26" s="5">
        <f t="shared" si="17"/>
        <v>0.23296242738128298</v>
      </c>
      <c r="W26" s="1"/>
      <c r="X26" s="1">
        <f t="shared" si="18"/>
        <v>-12039.275514999999</v>
      </c>
      <c r="Y26" s="1"/>
      <c r="Z26" s="5">
        <f t="shared" si="19"/>
        <v>-0.95675356686508151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7">
        <v>163.55000000000001</v>
      </c>
      <c r="E27" s="2"/>
      <c r="F27" s="6">
        <f t="shared" si="12"/>
        <v>1.0150252282332789E-2</v>
      </c>
      <c r="G27" s="2"/>
      <c r="H27" s="7">
        <v>615.842796923077</v>
      </c>
      <c r="I27" s="2"/>
      <c r="J27" s="6">
        <f t="shared" si="13"/>
        <v>1.4839227896269415E-2</v>
      </c>
      <c r="K27" s="2"/>
      <c r="L27" s="7">
        <f t="shared" si="14"/>
        <v>-452.29279692307699</v>
      </c>
      <c r="M27" s="2"/>
      <c r="N27" s="6">
        <f t="shared" si="15"/>
        <v>-0.7344289795754021</v>
      </c>
      <c r="O27" s="11"/>
      <c r="P27" s="7">
        <v>331.67</v>
      </c>
      <c r="Q27" s="2"/>
      <c r="R27" s="6">
        <f t="shared" si="16"/>
        <v>1.456095432267219E-2</v>
      </c>
      <c r="S27" s="2"/>
      <c r="T27" s="7">
        <v>1739.182515</v>
      </c>
      <c r="U27" s="2"/>
      <c r="V27" s="6">
        <f t="shared" si="17"/>
        <v>3.2198139683421272E-2</v>
      </c>
      <c r="W27" s="2"/>
      <c r="X27" s="7">
        <f t="shared" si="18"/>
        <v>-1407.5125149999999</v>
      </c>
      <c r="Y27" s="2"/>
      <c r="Z27" s="6">
        <f t="shared" si="19"/>
        <v>-0.80929546086196702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>
        <v>83.23</v>
      </c>
      <c r="E28" s="2"/>
      <c r="F28" s="6">
        <f t="shared" si="12"/>
        <v>5.165426459544837E-3</v>
      </c>
      <c r="G28" s="2"/>
      <c r="H28" s="7">
        <v>668.44521538461504</v>
      </c>
      <c r="I28" s="2"/>
      <c r="J28" s="6">
        <f t="shared" si="13"/>
        <v>1.6106725509857957E-2</v>
      </c>
      <c r="K28" s="2"/>
      <c r="L28" s="7">
        <f t="shared" si="14"/>
        <v>-585.21521538461502</v>
      </c>
      <c r="M28" s="2"/>
      <c r="N28" s="6">
        <f t="shared" si="15"/>
        <v>-0.87548717817942567</v>
      </c>
      <c r="O28" s="11"/>
      <c r="P28" s="7">
        <v>115.76</v>
      </c>
      <c r="Q28" s="2"/>
      <c r="R28" s="6">
        <f t="shared" si="16"/>
        <v>5.082087835476627E-3</v>
      </c>
      <c r="S28" s="2"/>
      <c r="T28" s="7">
        <v>1390.03935</v>
      </c>
      <c r="U28" s="2"/>
      <c r="V28" s="6">
        <f t="shared" si="17"/>
        <v>2.5734321021938351E-2</v>
      </c>
      <c r="W28" s="2"/>
      <c r="X28" s="7">
        <f t="shared" si="18"/>
        <v>-1274.27935</v>
      </c>
      <c r="Y28" s="2"/>
      <c r="Z28" s="6">
        <f t="shared" si="19"/>
        <v>-0.9167217820128617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7"/>
      <c r="E29" s="2"/>
      <c r="F29" s="6">
        <f t="shared" si="12"/>
        <v>0</v>
      </c>
      <c r="G29" s="2"/>
      <c r="H29" s="7">
        <v>1977</v>
      </c>
      <c r="I29" s="2"/>
      <c r="J29" s="6">
        <f t="shared" si="13"/>
        <v>4.763740632755837E-2</v>
      </c>
      <c r="K29" s="2"/>
      <c r="L29" s="7">
        <f t="shared" si="14"/>
        <v>-1977</v>
      </c>
      <c r="M29" s="2"/>
      <c r="N29" s="6">
        <f t="shared" si="15"/>
        <v>-1</v>
      </c>
      <c r="O29" s="11"/>
      <c r="P29" s="7"/>
      <c r="Q29" s="2"/>
      <c r="R29" s="6">
        <f t="shared" si="16"/>
        <v>0</v>
      </c>
      <c r="S29" s="2"/>
      <c r="T29" s="7">
        <v>5931</v>
      </c>
      <c r="U29" s="2"/>
      <c r="V29" s="6">
        <f t="shared" si="17"/>
        <v>0.10980283254651485</v>
      </c>
      <c r="W29" s="2"/>
      <c r="X29" s="7">
        <f t="shared" si="18"/>
        <v>-5931</v>
      </c>
      <c r="Y29" s="2"/>
      <c r="Z29" s="6">
        <f t="shared" si="19"/>
        <v>-1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12.97</v>
      </c>
      <c r="E30" s="2"/>
      <c r="F30" s="6">
        <f t="shared" si="12"/>
        <v>8.0494510609511636E-4</v>
      </c>
      <c r="G30" s="2"/>
      <c r="H30" s="7">
        <v>37.037861538461499</v>
      </c>
      <c r="I30" s="2"/>
      <c r="J30" s="6">
        <f t="shared" si="13"/>
        <v>8.9245708629819758E-4</v>
      </c>
      <c r="K30" s="2"/>
      <c r="L30" s="7">
        <f t="shared" si="14"/>
        <v>-24.0678615384615</v>
      </c>
      <c r="M30" s="2"/>
      <c r="N30" s="6">
        <f t="shared" si="15"/>
        <v>-0.64981779559461161</v>
      </c>
      <c r="O30" s="11"/>
      <c r="P30" s="7">
        <v>18.68</v>
      </c>
      <c r="Q30" s="2"/>
      <c r="R30" s="6">
        <f t="shared" si="16"/>
        <v>8.2008811996115566E-4</v>
      </c>
      <c r="S30" s="2"/>
      <c r="T30" s="7">
        <v>77.020649999999904</v>
      </c>
      <c r="U30" s="2"/>
      <c r="V30" s="6">
        <f t="shared" si="17"/>
        <v>1.4259122465981654E-3</v>
      </c>
      <c r="W30" s="2"/>
      <c r="X30" s="7">
        <f t="shared" si="18"/>
        <v>-58.340649999999904</v>
      </c>
      <c r="Y30" s="2"/>
      <c r="Z30" s="6">
        <f t="shared" si="19"/>
        <v>-0.75746764017182378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7"/>
      <c r="E31" s="2"/>
      <c r="F31" s="6">
        <f t="shared" si="12"/>
        <v>0</v>
      </c>
      <c r="G31" s="2"/>
      <c r="H31" s="7">
        <v>397.928615384615</v>
      </c>
      <c r="I31" s="2"/>
      <c r="J31" s="6">
        <f t="shared" si="13"/>
        <v>9.5884102885379872E-3</v>
      </c>
      <c r="K31" s="2"/>
      <c r="L31" s="7">
        <f t="shared" si="14"/>
        <v>-397.928615384615</v>
      </c>
      <c r="M31" s="2"/>
      <c r="N31" s="6">
        <f t="shared" si="15"/>
        <v>-1</v>
      </c>
      <c r="O31" s="11"/>
      <c r="P31" s="7"/>
      <c r="Q31" s="2"/>
      <c r="R31" s="6">
        <f t="shared" si="16"/>
        <v>0</v>
      </c>
      <c r="S31" s="2"/>
      <c r="T31" s="7">
        <v>1293.268</v>
      </c>
      <c r="U31" s="2"/>
      <c r="V31" s="6">
        <f t="shared" si="17"/>
        <v>2.3942756641673609E-2</v>
      </c>
      <c r="W31" s="2"/>
      <c r="X31" s="7">
        <f t="shared" si="18"/>
        <v>-1293.268</v>
      </c>
      <c r="Y31" s="2"/>
      <c r="Z31" s="6">
        <f t="shared" si="19"/>
        <v>-1</v>
      </c>
    </row>
    <row r="32" spans="1:26" s="24" customFormat="1" hidden="1" outlineLevel="2" x14ac:dyDescent="0.25">
      <c r="A32" s="29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9"/>
      <c r="B33" s="11" t="str">
        <f>CONCATENATE("          ", "6118", " - ", "VACATION")</f>
        <v xml:space="preserve">          6118 - VACATION</v>
      </c>
      <c r="C33" s="11"/>
      <c r="D33" s="7"/>
      <c r="E33" s="2"/>
      <c r="F33" s="6">
        <f t="shared" si="12"/>
        <v>0</v>
      </c>
      <c r="G33" s="2"/>
      <c r="H33" s="7">
        <v>231.35384615384601</v>
      </c>
      <c r="I33" s="2"/>
      <c r="J33" s="6">
        <f t="shared" si="13"/>
        <v>5.5746571444988315E-3</v>
      </c>
      <c r="K33" s="2"/>
      <c r="L33" s="7">
        <f t="shared" si="14"/>
        <v>-231.35384615384601</v>
      </c>
      <c r="M33" s="2"/>
      <c r="N33" s="6">
        <f t="shared" si="15"/>
        <v>-1</v>
      </c>
      <c r="O33" s="11"/>
      <c r="P33" s="7"/>
      <c r="Q33" s="2"/>
      <c r="R33" s="6">
        <f t="shared" si="16"/>
        <v>0</v>
      </c>
      <c r="S33" s="2"/>
      <c r="T33" s="7">
        <v>751.9</v>
      </c>
      <c r="U33" s="2"/>
      <c r="V33" s="6">
        <f t="shared" si="17"/>
        <v>1.3920207349810237E-2</v>
      </c>
      <c r="W33" s="2"/>
      <c r="X33" s="7">
        <f t="shared" si="18"/>
        <v>-751.9</v>
      </c>
      <c r="Y33" s="2"/>
      <c r="Z33" s="6">
        <f t="shared" si="19"/>
        <v>-1</v>
      </c>
    </row>
    <row r="34" spans="1:26" s="24" customFormat="1" hidden="1" outlineLevel="2" x14ac:dyDescent="0.25">
      <c r="A34" s="29"/>
      <c r="B34" s="11" t="str">
        <f>CONCATENATE("          ", "6119", " - ", "SICK LEAVE")</f>
        <v xml:space="preserve">          6119 - SICK LEAVE</v>
      </c>
      <c r="C34" s="11"/>
      <c r="D34" s="7"/>
      <c r="E34" s="2"/>
      <c r="F34" s="6">
        <f t="shared" si="12"/>
        <v>0</v>
      </c>
      <c r="G34" s="2"/>
      <c r="H34" s="7">
        <v>621.65384615384596</v>
      </c>
      <c r="I34" s="2"/>
      <c r="J34" s="6">
        <f t="shared" si="13"/>
        <v>1.4979249804916652E-2</v>
      </c>
      <c r="K34" s="2"/>
      <c r="L34" s="7">
        <f t="shared" si="14"/>
        <v>-621.65384615384596</v>
      </c>
      <c r="M34" s="2"/>
      <c r="N34" s="6">
        <f t="shared" si="15"/>
        <v>-1</v>
      </c>
      <c r="O34" s="11"/>
      <c r="P34" s="7"/>
      <c r="Q34" s="2"/>
      <c r="R34" s="6">
        <f t="shared" si="16"/>
        <v>0</v>
      </c>
      <c r="S34" s="2"/>
      <c r="T34" s="7">
        <v>1401.0550000000001</v>
      </c>
      <c r="U34" s="2"/>
      <c r="V34" s="6">
        <f t="shared" si="17"/>
        <v>2.5938257891326484E-2</v>
      </c>
      <c r="W34" s="2"/>
      <c r="X34" s="7">
        <f t="shared" si="18"/>
        <v>-1401.0550000000001</v>
      </c>
      <c r="Y34" s="2"/>
      <c r="Z34" s="6">
        <f t="shared" si="19"/>
        <v>-1</v>
      </c>
    </row>
    <row r="35" spans="1:26" s="24" customFormat="1" hidden="1" outlineLevel="2" x14ac:dyDescent="0.25">
      <c r="A35" s="29"/>
      <c r="B35" s="11" t="str">
        <f>CONCATENATE("          ", "6156", " - ", "EMPLOYEE MEALS")</f>
        <v xml:space="preserve">          6156 - EMPLOYEE MEALS</v>
      </c>
      <c r="C35" s="11"/>
      <c r="D35" s="7"/>
      <c r="E35" s="2"/>
      <c r="F35" s="6">
        <f t="shared" si="12"/>
        <v>0</v>
      </c>
      <c r="G35" s="2"/>
      <c r="H35" s="7"/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>
        <v>78.08</v>
      </c>
      <c r="Q35" s="2"/>
      <c r="R35" s="6">
        <f t="shared" si="16"/>
        <v>3.4278629767969505E-3</v>
      </c>
      <c r="S35" s="2"/>
      <c r="T35" s="7"/>
      <c r="U35" s="2"/>
      <c r="V35" s="6">
        <f t="shared" si="17"/>
        <v>0</v>
      </c>
      <c r="W35" s="2"/>
      <c r="X35" s="7">
        <f t="shared" si="18"/>
        <v>78.08</v>
      </c>
      <c r="Y35" s="2"/>
      <c r="Z35" s="6">
        <f t="shared" si="19"/>
        <v>0</v>
      </c>
    </row>
    <row r="36" spans="1:26" s="28" customFormat="1" outlineLevel="1" collapsed="1" x14ac:dyDescent="0.25">
      <c r="A36" s="27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4434.13</v>
      </c>
      <c r="E36" s="1"/>
      <c r="F36" s="5">
        <f t="shared" ref="F36:F46" si="20">IF(D$12=0,0,D36/D$12)</f>
        <v>0.27519130634460587</v>
      </c>
      <c r="G36" s="1"/>
      <c r="H36" s="1">
        <f>SUM(OSRRefH22_1x_0)</f>
        <v>16784.06923076923</v>
      </c>
      <c r="I36" s="1"/>
      <c r="J36" s="5">
        <f t="shared" ref="J36:J46" si="21">IF(H$12=0,0,H36/H$12)</f>
        <v>0.40442565795448854</v>
      </c>
      <c r="K36" s="1"/>
      <c r="L36" s="1">
        <f t="shared" ref="L36:L46" si="22">+D36-H36</f>
        <v>-12349.939230769229</v>
      </c>
      <c r="M36" s="1"/>
      <c r="N36" s="5">
        <f t="shared" ref="N36:N46" si="23">IF(H36=0,0,L36/H36)</f>
        <v>-0.73581317265593882</v>
      </c>
      <c r="O36" s="14"/>
      <c r="P36" s="1">
        <f>SUM(OSRRefP22_1x_0)</f>
        <v>8060.7900000000009</v>
      </c>
      <c r="Q36" s="1"/>
      <c r="R36" s="5">
        <f t="shared" ref="R36:R46" si="24">IF(P$12=0,0,P36/P$12)</f>
        <v>0.35388426747867691</v>
      </c>
      <c r="S36" s="1"/>
      <c r="T36" s="1">
        <f>SUM(OSRRefT22_1x_0)</f>
        <v>34523.544999999998</v>
      </c>
      <c r="U36" s="1"/>
      <c r="V36" s="5">
        <f t="shared" ref="V36:V46" si="25">IF(T$12=0,0,T36/T$12)</f>
        <v>0.63914736647227621</v>
      </c>
      <c r="W36" s="1"/>
      <c r="X36" s="1">
        <f t="shared" ref="X36:X46" si="26">+P36-T36</f>
        <v>-26462.754999999997</v>
      </c>
      <c r="Y36" s="1"/>
      <c r="Z36" s="5">
        <f t="shared" ref="Z36:Z46" si="27">IF(T36=0,0,X36/T36)</f>
        <v>-0.7665132592843521</v>
      </c>
    </row>
    <row r="37" spans="1:26" s="24" customFormat="1" hidden="1" outlineLevel="2" x14ac:dyDescent="0.25">
      <c r="A37" s="29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9"/>
      <c r="B38" s="11" t="str">
        <f>CONCATENATE("          ", "6002", " - ", "STAFF SALARIES")</f>
        <v xml:space="preserve">          6002 - STAFF SALARIES</v>
      </c>
      <c r="C38" s="11"/>
      <c r="D38" s="7"/>
      <c r="E38" s="2"/>
      <c r="F38" s="6">
        <f t="shared" si="20"/>
        <v>0</v>
      </c>
      <c r="G38" s="2"/>
      <c r="H38" s="7">
        <v>4164.3692307692299</v>
      </c>
      <c r="I38" s="2"/>
      <c r="J38" s="6">
        <f t="shared" si="21"/>
        <v>0.10034382860097901</v>
      </c>
      <c r="K38" s="2"/>
      <c r="L38" s="7">
        <f t="shared" si="22"/>
        <v>-4164.3692307692299</v>
      </c>
      <c r="M38" s="2"/>
      <c r="N38" s="6">
        <f t="shared" si="23"/>
        <v>-1</v>
      </c>
      <c r="O38" s="11"/>
      <c r="P38" s="7"/>
      <c r="Q38" s="2"/>
      <c r="R38" s="6">
        <f t="shared" si="24"/>
        <v>0</v>
      </c>
      <c r="S38" s="2"/>
      <c r="T38" s="7">
        <v>13534.2</v>
      </c>
      <c r="U38" s="2"/>
      <c r="V38" s="6">
        <f t="shared" si="25"/>
        <v>0.2505637322965843</v>
      </c>
      <c r="W38" s="2"/>
      <c r="X38" s="7">
        <f t="shared" si="26"/>
        <v>-13534.2</v>
      </c>
      <c r="Y38" s="2"/>
      <c r="Z38" s="6">
        <f t="shared" si="27"/>
        <v>-1</v>
      </c>
    </row>
    <row r="39" spans="1:26" s="24" customFormat="1" hidden="1" outlineLevel="2" x14ac:dyDescent="0.25">
      <c r="A39" s="29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9"/>
      <c r="B40" s="11" t="str">
        <f>CONCATENATE("          ", "6004", " - ", "STAFF HOURLY")</f>
        <v xml:space="preserve">          6004 - STAFF HOURLY</v>
      </c>
      <c r="C40" s="11"/>
      <c r="D40" s="7"/>
      <c r="E40" s="2"/>
      <c r="F40" s="6">
        <f t="shared" si="20"/>
        <v>0</v>
      </c>
      <c r="G40" s="2"/>
      <c r="H40" s="7">
        <v>3317.4</v>
      </c>
      <c r="I40" s="2"/>
      <c r="J40" s="6">
        <f t="shared" si="21"/>
        <v>7.9935423242813428E-2</v>
      </c>
      <c r="K40" s="2"/>
      <c r="L40" s="7">
        <f t="shared" si="22"/>
        <v>-3317.4</v>
      </c>
      <c r="M40" s="2"/>
      <c r="N40" s="6">
        <f t="shared" si="23"/>
        <v>-1</v>
      </c>
      <c r="O40" s="11"/>
      <c r="P40" s="7"/>
      <c r="Q40" s="2"/>
      <c r="R40" s="6">
        <f t="shared" si="24"/>
        <v>0</v>
      </c>
      <c r="S40" s="2"/>
      <c r="T40" s="7">
        <v>7456.875</v>
      </c>
      <c r="U40" s="2"/>
      <c r="V40" s="6">
        <f t="shared" si="25"/>
        <v>0.13805193001943905</v>
      </c>
      <c r="W40" s="2"/>
      <c r="X40" s="7">
        <f t="shared" si="26"/>
        <v>-7456.875</v>
      </c>
      <c r="Y40" s="2"/>
      <c r="Z40" s="6">
        <f t="shared" si="27"/>
        <v>-1</v>
      </c>
    </row>
    <row r="41" spans="1:26" s="24" customFormat="1" hidden="1" outlineLevel="2" x14ac:dyDescent="0.25">
      <c r="A41" s="29"/>
      <c r="B41" s="11" t="str">
        <f>CONCATENATE("          ", "6005", " - ", "TEMPORARY WAGES-HOURLY")</f>
        <v xml:space="preserve">          6005 - TEMPORARY WAGES-HOURLY</v>
      </c>
      <c r="C41" s="11"/>
      <c r="D41" s="7">
        <v>2137.8000000000002</v>
      </c>
      <c r="E41" s="2"/>
      <c r="F41" s="6">
        <f t="shared" si="20"/>
        <v>0.13267630283809867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2137.8000000000002</v>
      </c>
      <c r="M41" s="2"/>
      <c r="N41" s="6">
        <f t="shared" si="23"/>
        <v>0</v>
      </c>
      <c r="O41" s="11"/>
      <c r="P41" s="7">
        <v>3486.9</v>
      </c>
      <c r="Q41" s="2"/>
      <c r="R41" s="6">
        <f t="shared" si="24"/>
        <v>0.15308165232829518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3486.9</v>
      </c>
      <c r="Y41" s="2"/>
      <c r="Z41" s="6">
        <f t="shared" si="27"/>
        <v>0</v>
      </c>
    </row>
    <row r="42" spans="1:26" s="24" customFormat="1" hidden="1" outlineLevel="2" x14ac:dyDescent="0.25">
      <c r="A42" s="29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9"/>
      <c r="B43" s="11" t="str">
        <f>CONCATENATE("          ", "6007", " - ", "STUDENT HOURLY")</f>
        <v xml:space="preserve">          6007 - STUDENT HOURLY</v>
      </c>
      <c r="C43" s="11"/>
      <c r="D43" s="7">
        <v>2296.33</v>
      </c>
      <c r="E43" s="2"/>
      <c r="F43" s="6">
        <f t="shared" si="20"/>
        <v>0.1425150035065072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2296.33</v>
      </c>
      <c r="M43" s="2"/>
      <c r="N43" s="6">
        <f t="shared" si="23"/>
        <v>0</v>
      </c>
      <c r="O43" s="11"/>
      <c r="P43" s="7">
        <v>4573.8900000000003</v>
      </c>
      <c r="Q43" s="2"/>
      <c r="R43" s="6">
        <f t="shared" si="24"/>
        <v>0.20080261515038172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4573.8900000000003</v>
      </c>
      <c r="Y43" s="2"/>
      <c r="Z43" s="6">
        <f t="shared" si="27"/>
        <v>0</v>
      </c>
    </row>
    <row r="44" spans="1:26" s="24" customFormat="1" hidden="1" outlineLevel="2" x14ac:dyDescent="0.25">
      <c r="A44" s="29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0"/>
        <v>0</v>
      </c>
      <c r="G44" s="2"/>
      <c r="H44" s="7">
        <v>9302.2999999999993</v>
      </c>
      <c r="I44" s="2"/>
      <c r="J44" s="6">
        <f t="shared" si="21"/>
        <v>0.22414640611069611</v>
      </c>
      <c r="K44" s="2"/>
      <c r="L44" s="7">
        <f t="shared" si="22"/>
        <v>-9302.2999999999993</v>
      </c>
      <c r="M44" s="2"/>
      <c r="N44" s="6">
        <f t="shared" si="23"/>
        <v>-1</v>
      </c>
      <c r="O44" s="11"/>
      <c r="P44" s="7"/>
      <c r="Q44" s="2"/>
      <c r="R44" s="6">
        <f t="shared" si="24"/>
        <v>0</v>
      </c>
      <c r="S44" s="2"/>
      <c r="T44" s="7">
        <v>13532.47</v>
      </c>
      <c r="U44" s="2"/>
      <c r="V44" s="6">
        <f t="shared" si="25"/>
        <v>0.25053170415625287</v>
      </c>
      <c r="W44" s="2"/>
      <c r="X44" s="7">
        <f t="shared" si="26"/>
        <v>-13532.47</v>
      </c>
      <c r="Y44" s="2"/>
      <c r="Z44" s="6">
        <f t="shared" si="27"/>
        <v>-1</v>
      </c>
    </row>
    <row r="45" spans="1:26" s="24" customFormat="1" hidden="1" outlineLevel="2" x14ac:dyDescent="0.25">
      <c r="A45" s="29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9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8" customFormat="1" outlineLevel="1" collapsed="1" x14ac:dyDescent="0.25">
      <c r="A47" s="27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0</v>
      </c>
      <c r="E47" s="1"/>
      <c r="F47" s="5">
        <f t="shared" ref="F47:F55" si="28">IF(D$12=0,0,D47/D$12)</f>
        <v>0</v>
      </c>
      <c r="G47" s="1"/>
      <c r="H47" s="1">
        <f>SUM(OSRRefH22_2x_0)</f>
        <v>0</v>
      </c>
      <c r="I47" s="1"/>
      <c r="J47" s="5">
        <f t="shared" ref="J47:J55" si="29">IF(H$12=0,0,H47/H$12)</f>
        <v>0</v>
      </c>
      <c r="K47" s="1"/>
      <c r="L47" s="1">
        <f t="shared" ref="L47:L55" si="30">+D47-H47</f>
        <v>0</v>
      </c>
      <c r="M47" s="1"/>
      <c r="N47" s="5">
        <f t="shared" ref="N47:N55" si="31">IF(H47=0,0,L47/H47)</f>
        <v>0</v>
      </c>
      <c r="O47" s="14"/>
      <c r="P47" s="1">
        <f>SUM(OSRRefP22_2x_0)</f>
        <v>87.97</v>
      </c>
      <c r="Q47" s="1"/>
      <c r="R47" s="5">
        <f t="shared" ref="R47:R55" si="32">IF(P$12=0,0,P47/P$12)</f>
        <v>3.8620531002667487E-3</v>
      </c>
      <c r="S47" s="1"/>
      <c r="T47" s="1">
        <f>SUM(OSRRefT22_2x_0)</f>
        <v>0</v>
      </c>
      <c r="U47" s="1"/>
      <c r="V47" s="5">
        <f t="shared" ref="V47:V55" si="33">IF(T$12=0,0,T47/T$12)</f>
        <v>0</v>
      </c>
      <c r="W47" s="1"/>
      <c r="X47" s="1">
        <f t="shared" ref="X47:X55" si="34">+P47-T47</f>
        <v>87.97</v>
      </c>
      <c r="Y47" s="1"/>
      <c r="Z47" s="5">
        <f t="shared" ref="Z47:Z55" si="35">IF(T47=0,0,X47/T47)</f>
        <v>0</v>
      </c>
    </row>
    <row r="48" spans="1:26" s="24" customFormat="1" hidden="1" outlineLevel="2" x14ac:dyDescent="0.25">
      <c r="A48" s="29"/>
      <c r="B48" s="11" t="str">
        <f>CONCATENATE("          ", "6362", " - ", "ADVERTISING EXPENSE")</f>
        <v xml:space="preserve">          6362 - ADVERTISING EXPENSE</v>
      </c>
      <c r="C48" s="11"/>
      <c r="D48" s="7"/>
      <c r="E48" s="2"/>
      <c r="F48" s="6">
        <f t="shared" si="28"/>
        <v>0</v>
      </c>
      <c r="G48" s="2"/>
      <c r="H48" s="7"/>
      <c r="I48" s="2"/>
      <c r="J48" s="6">
        <f t="shared" si="29"/>
        <v>0</v>
      </c>
      <c r="K48" s="2"/>
      <c r="L48" s="7">
        <f t="shared" si="30"/>
        <v>0</v>
      </c>
      <c r="M48" s="2"/>
      <c r="N48" s="6">
        <f t="shared" si="31"/>
        <v>0</v>
      </c>
      <c r="O48" s="11"/>
      <c r="P48" s="7">
        <v>87.97</v>
      </c>
      <c r="Q48" s="2"/>
      <c r="R48" s="6">
        <f t="shared" si="32"/>
        <v>3.8620531002667487E-3</v>
      </c>
      <c r="S48" s="2"/>
      <c r="T48" s="7">
        <v>0</v>
      </c>
      <c r="U48" s="2"/>
      <c r="V48" s="6">
        <f t="shared" si="33"/>
        <v>0</v>
      </c>
      <c r="W48" s="2"/>
      <c r="X48" s="7">
        <f t="shared" si="34"/>
        <v>87.97</v>
      </c>
      <c r="Y48" s="2"/>
      <c r="Z48" s="6">
        <f t="shared" si="35"/>
        <v>0</v>
      </c>
    </row>
    <row r="49" spans="1:26" s="28" customFormat="1" outlineLevel="1" collapsed="1" x14ac:dyDescent="0.25">
      <c r="A49" s="27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15.79</v>
      </c>
      <c r="E49" s="1"/>
      <c r="F49" s="5">
        <f t="shared" si="28"/>
        <v>9.7996015614817945E-4</v>
      </c>
      <c r="G49" s="1"/>
      <c r="H49" s="1">
        <f>SUM(OSRRefH22_3x_0)</f>
        <v>0</v>
      </c>
      <c r="I49" s="1"/>
      <c r="J49" s="5">
        <f t="shared" si="29"/>
        <v>0</v>
      </c>
      <c r="K49" s="1"/>
      <c r="L49" s="1">
        <f t="shared" si="30"/>
        <v>15.79</v>
      </c>
      <c r="M49" s="1"/>
      <c r="N49" s="5">
        <f t="shared" si="31"/>
        <v>0</v>
      </c>
      <c r="O49" s="14"/>
      <c r="P49" s="1">
        <f>SUM(OSRRefP22_3x_0)</f>
        <v>14.49</v>
      </c>
      <c r="Q49" s="1"/>
      <c r="R49" s="5">
        <f t="shared" si="32"/>
        <v>6.3613901810691362E-4</v>
      </c>
      <c r="S49" s="1"/>
      <c r="T49" s="1">
        <f>SUM(OSRRefT22_3x_0)</f>
        <v>0</v>
      </c>
      <c r="U49" s="1"/>
      <c r="V49" s="5">
        <f t="shared" si="33"/>
        <v>0</v>
      </c>
      <c r="W49" s="1"/>
      <c r="X49" s="1">
        <f t="shared" si="34"/>
        <v>14.49</v>
      </c>
      <c r="Y49" s="1"/>
      <c r="Z49" s="5">
        <f t="shared" si="35"/>
        <v>0</v>
      </c>
    </row>
    <row r="50" spans="1:26" s="24" customFormat="1" hidden="1" outlineLevel="2" x14ac:dyDescent="0.25">
      <c r="A50" s="29"/>
      <c r="B50" s="11" t="str">
        <f>CONCATENATE("          ", "6272", " - ", "CASH (OVER/SHORT)")</f>
        <v xml:space="preserve">          6272 - CASH (OVER/SHORT)</v>
      </c>
      <c r="C50" s="11"/>
      <c r="D50" s="7">
        <v>15.79</v>
      </c>
      <c r="E50" s="2"/>
      <c r="F50" s="6">
        <f t="shared" si="28"/>
        <v>9.7996015614817945E-4</v>
      </c>
      <c r="G50" s="2"/>
      <c r="H50" s="7"/>
      <c r="I50" s="2"/>
      <c r="J50" s="6">
        <f t="shared" si="29"/>
        <v>0</v>
      </c>
      <c r="K50" s="2"/>
      <c r="L50" s="7">
        <f t="shared" si="30"/>
        <v>15.79</v>
      </c>
      <c r="M50" s="2"/>
      <c r="N50" s="6">
        <f t="shared" si="31"/>
        <v>0</v>
      </c>
      <c r="O50" s="11"/>
      <c r="P50" s="7">
        <v>14.49</v>
      </c>
      <c r="Q50" s="2"/>
      <c r="R50" s="6">
        <f t="shared" si="32"/>
        <v>6.3613901810691362E-4</v>
      </c>
      <c r="S50" s="2"/>
      <c r="T50" s="7">
        <v>0</v>
      </c>
      <c r="U50" s="2"/>
      <c r="V50" s="6">
        <f t="shared" si="33"/>
        <v>0</v>
      </c>
      <c r="W50" s="2"/>
      <c r="X50" s="7">
        <f t="shared" si="34"/>
        <v>14.49</v>
      </c>
      <c r="Y50" s="2"/>
      <c r="Z50" s="6">
        <f t="shared" si="35"/>
        <v>0</v>
      </c>
    </row>
    <row r="51" spans="1:26" s="28" customFormat="1" outlineLevel="1" collapsed="1" x14ac:dyDescent="0.25">
      <c r="A51" s="27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1041.94</v>
      </c>
      <c r="E51" s="1"/>
      <c r="F51" s="5">
        <f t="shared" si="28"/>
        <v>6.466495789088246E-2</v>
      </c>
      <c r="G51" s="1"/>
      <c r="H51" s="1">
        <f>SUM(OSRRefH22_4x_0)</f>
        <v>1664.5</v>
      </c>
      <c r="I51" s="1"/>
      <c r="J51" s="5">
        <f t="shared" si="29"/>
        <v>4.0107467289944819E-2</v>
      </c>
      <c r="K51" s="1"/>
      <c r="L51" s="1">
        <f t="shared" si="30"/>
        <v>-622.55999999999995</v>
      </c>
      <c r="M51" s="1"/>
      <c r="N51" s="5">
        <f t="shared" si="31"/>
        <v>-0.37402222889756681</v>
      </c>
      <c r="O51" s="14"/>
      <c r="P51" s="1">
        <f>SUM(OSRRefP22_4x_0)</f>
        <v>1536.96</v>
      </c>
      <c r="Q51" s="1"/>
      <c r="R51" s="5">
        <f t="shared" si="32"/>
        <v>6.7475515891621943E-2</v>
      </c>
      <c r="S51" s="1"/>
      <c r="T51" s="1">
        <f>SUM(OSRRefT22_4x_0)</f>
        <v>2126.75</v>
      </c>
      <c r="U51" s="1"/>
      <c r="V51" s="5">
        <f t="shared" si="33"/>
        <v>3.9373322225307782E-2</v>
      </c>
      <c r="W51" s="1"/>
      <c r="X51" s="1">
        <f t="shared" si="34"/>
        <v>-589.79</v>
      </c>
      <c r="Y51" s="1"/>
      <c r="Z51" s="5">
        <f t="shared" si="35"/>
        <v>-0.27731985423768657</v>
      </c>
    </row>
    <row r="52" spans="1:26" s="24" customFormat="1" hidden="1" outlineLevel="2" x14ac:dyDescent="0.25">
      <c r="A52" s="29"/>
      <c r="B52" s="11" t="str">
        <f>CONCATENATE("          ", "6381", " - ", "BANK/CREDIT CARD FEES")</f>
        <v xml:space="preserve">          6381 - BANK/CREDIT CARD FEES</v>
      </c>
      <c r="C52" s="11"/>
      <c r="D52" s="7">
        <v>1041.94</v>
      </c>
      <c r="E52" s="2"/>
      <c r="F52" s="6">
        <f t="shared" si="28"/>
        <v>6.466495789088246E-2</v>
      </c>
      <c r="G52" s="2"/>
      <c r="H52" s="7">
        <v>1664.5</v>
      </c>
      <c r="I52" s="2"/>
      <c r="J52" s="6">
        <f t="shared" si="29"/>
        <v>4.0107467289944819E-2</v>
      </c>
      <c r="K52" s="2"/>
      <c r="L52" s="7">
        <f t="shared" si="30"/>
        <v>-622.55999999999995</v>
      </c>
      <c r="M52" s="2"/>
      <c r="N52" s="6">
        <f t="shared" si="31"/>
        <v>-0.37402222889756681</v>
      </c>
      <c r="O52" s="11"/>
      <c r="P52" s="7">
        <v>1536.96</v>
      </c>
      <c r="Q52" s="2"/>
      <c r="R52" s="6">
        <f t="shared" si="32"/>
        <v>6.7475515891621943E-2</v>
      </c>
      <c r="S52" s="2"/>
      <c r="T52" s="7">
        <v>2126.75</v>
      </c>
      <c r="U52" s="2"/>
      <c r="V52" s="6">
        <f t="shared" si="33"/>
        <v>3.9373322225307782E-2</v>
      </c>
      <c r="W52" s="2"/>
      <c r="X52" s="7">
        <f t="shared" si="34"/>
        <v>-589.79</v>
      </c>
      <c r="Y52" s="2"/>
      <c r="Z52" s="6">
        <f t="shared" si="35"/>
        <v>-0.27731985423768657</v>
      </c>
    </row>
    <row r="53" spans="1:26" s="28" customFormat="1" outlineLevel="1" collapsed="1" x14ac:dyDescent="0.25">
      <c r="A53" s="27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7135.5300000000007</v>
      </c>
      <c r="E53" s="1"/>
      <c r="F53" s="5">
        <f t="shared" si="28"/>
        <v>0.44284579436352245</v>
      </c>
      <c r="G53" s="1"/>
      <c r="H53" s="1">
        <f>SUM(OSRRefH22_5x_0)</f>
        <v>7134</v>
      </c>
      <c r="I53" s="1"/>
      <c r="J53" s="5">
        <f t="shared" si="29"/>
        <v>0.17189947230187225</v>
      </c>
      <c r="K53" s="1"/>
      <c r="L53" s="1">
        <f t="shared" si="30"/>
        <v>1.5300000000006548</v>
      </c>
      <c r="M53" s="1"/>
      <c r="N53" s="5">
        <f t="shared" si="31"/>
        <v>2.1446593776291769E-4</v>
      </c>
      <c r="O53" s="14"/>
      <c r="P53" s="1">
        <f>SUM(OSRRefP22_5x_0)</f>
        <v>21406.61</v>
      </c>
      <c r="Q53" s="1"/>
      <c r="R53" s="5">
        <f t="shared" si="32"/>
        <v>0.93979157117996115</v>
      </c>
      <c r="S53" s="1"/>
      <c r="T53" s="1">
        <f>SUM(OSRRefT22_5x_0)</f>
        <v>21402</v>
      </c>
      <c r="U53" s="1"/>
      <c r="V53" s="5">
        <f t="shared" si="33"/>
        <v>0.39622327131352403</v>
      </c>
      <c r="W53" s="1"/>
      <c r="X53" s="1">
        <f t="shared" si="34"/>
        <v>4.6100000000005821</v>
      </c>
      <c r="Y53" s="1"/>
      <c r="Z53" s="5">
        <f t="shared" si="35"/>
        <v>2.1540042986639482E-4</v>
      </c>
    </row>
    <row r="54" spans="1:26" s="24" customFormat="1" hidden="1" outlineLevel="2" x14ac:dyDescent="0.25">
      <c r="A54" s="29"/>
      <c r="B54" s="11" t="str">
        <f>CONCATENATE("          ", "6321", " - ", "BUILDING DEPRECIATION")</f>
        <v xml:space="preserve">          6321 - BUILDING DEPRECIATION</v>
      </c>
      <c r="C54" s="11"/>
      <c r="D54" s="7">
        <v>5080.51</v>
      </c>
      <c r="E54" s="2"/>
      <c r="F54" s="6">
        <f t="shared" si="28"/>
        <v>0.31530699005144947</v>
      </c>
      <c r="G54" s="2"/>
      <c r="H54" s="7"/>
      <c r="I54" s="2"/>
      <c r="J54" s="6">
        <f t="shared" si="29"/>
        <v>0</v>
      </c>
      <c r="K54" s="2"/>
      <c r="L54" s="7">
        <f t="shared" si="30"/>
        <v>5080.51</v>
      </c>
      <c r="M54" s="2"/>
      <c r="N54" s="6">
        <f t="shared" si="31"/>
        <v>0</v>
      </c>
      <c r="O54" s="11"/>
      <c r="P54" s="7">
        <v>15241.53</v>
      </c>
      <c r="Q54" s="2"/>
      <c r="R54" s="6">
        <f t="shared" si="32"/>
        <v>0.66913263827792047</v>
      </c>
      <c r="S54" s="2"/>
      <c r="T54" s="7"/>
      <c r="U54" s="2"/>
      <c r="V54" s="6">
        <f t="shared" si="33"/>
        <v>0</v>
      </c>
      <c r="W54" s="2"/>
      <c r="X54" s="7">
        <f t="shared" si="34"/>
        <v>15241.53</v>
      </c>
      <c r="Y54" s="2"/>
      <c r="Z54" s="6">
        <f t="shared" si="35"/>
        <v>0</v>
      </c>
    </row>
    <row r="55" spans="1:26" s="24" customFormat="1" hidden="1" outlineLevel="2" x14ac:dyDescent="0.25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2055.02</v>
      </c>
      <c r="E55" s="2"/>
      <c r="F55" s="6">
        <f t="shared" si="28"/>
        <v>0.12753880431207293</v>
      </c>
      <c r="G55" s="2"/>
      <c r="H55" s="7">
        <v>7134</v>
      </c>
      <c r="I55" s="2"/>
      <c r="J55" s="6">
        <f t="shared" si="29"/>
        <v>0.17189947230187225</v>
      </c>
      <c r="K55" s="2"/>
      <c r="L55" s="7">
        <f t="shared" si="30"/>
        <v>-5078.9799999999996</v>
      </c>
      <c r="M55" s="2"/>
      <c r="N55" s="6">
        <f t="shared" si="31"/>
        <v>-0.71194000560695259</v>
      </c>
      <c r="O55" s="11"/>
      <c r="P55" s="7">
        <v>6165.08</v>
      </c>
      <c r="Q55" s="2"/>
      <c r="R55" s="6">
        <f t="shared" si="32"/>
        <v>0.27065893290204079</v>
      </c>
      <c r="S55" s="2"/>
      <c r="T55" s="7">
        <v>21402</v>
      </c>
      <c r="U55" s="2"/>
      <c r="V55" s="6">
        <f t="shared" si="33"/>
        <v>0.39622327131352403</v>
      </c>
      <c r="W55" s="2"/>
      <c r="X55" s="7">
        <f t="shared" si="34"/>
        <v>-15236.92</v>
      </c>
      <c r="Y55" s="2"/>
      <c r="Z55" s="6">
        <f t="shared" si="35"/>
        <v>-0.71193907111484911</v>
      </c>
    </row>
    <row r="56" spans="1:26" s="28" customFormat="1" outlineLevel="1" collapsed="1" x14ac:dyDescent="0.25">
      <c r="A56" s="27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SUM(OSRRefD22_6x_0)</f>
        <v>0</v>
      </c>
      <c r="E56" s="1"/>
      <c r="F56" s="5">
        <f t="shared" ref="F56:F67" si="36">IF(D$12=0,0,D56/D$12)</f>
        <v>0</v>
      </c>
      <c r="G56" s="1"/>
      <c r="H56" s="1">
        <f>SUM(OSRRefH22_6x_0)</f>
        <v>176</v>
      </c>
      <c r="I56" s="1"/>
      <c r="J56" s="5">
        <f t="shared" ref="J56:J67" si="37">IF(H$12=0,0,H56/H$12)</f>
        <v>4.2408616659839523E-3</v>
      </c>
      <c r="K56" s="1"/>
      <c r="L56" s="1">
        <f t="shared" ref="L56:L67" si="38">+D56-H56</f>
        <v>-176</v>
      </c>
      <c r="M56" s="1"/>
      <c r="N56" s="5">
        <f t="shared" ref="N56:N67" si="39">IF(H56=0,0,L56/H56)</f>
        <v>-1</v>
      </c>
      <c r="O56" s="14"/>
      <c r="P56" s="1">
        <f>SUM(OSRRefP22_6x_0)</f>
        <v>0</v>
      </c>
      <c r="Q56" s="1"/>
      <c r="R56" s="5">
        <f t="shared" ref="R56:R67" si="40">IF(P$12=0,0,P56/P$12)</f>
        <v>0</v>
      </c>
      <c r="S56" s="1"/>
      <c r="T56" s="1">
        <f>SUM(OSRRefT22_6x_0)</f>
        <v>528</v>
      </c>
      <c r="U56" s="1"/>
      <c r="V56" s="5">
        <f t="shared" ref="V56:V67" si="41">IF(T$12=0,0,T56/T$12)</f>
        <v>9.7750624826437107E-3</v>
      </c>
      <c r="W56" s="1"/>
      <c r="X56" s="1">
        <f t="shared" ref="X56:X67" si="42">+P56-T56</f>
        <v>-528</v>
      </c>
      <c r="Y56" s="1"/>
      <c r="Z56" s="5">
        <f t="shared" ref="Z56:Z67" si="43">IF(T56=0,0,X56/T56)</f>
        <v>-1</v>
      </c>
    </row>
    <row r="57" spans="1:26" s="24" customFormat="1" hidden="1" outlineLevel="2" x14ac:dyDescent="0.25">
      <c r="A57" s="29"/>
      <c r="B57" s="11" t="str">
        <f>CONCATENATE("          ", "6351", " - ", "EQUIPMENT RENTAL")</f>
        <v xml:space="preserve">          6351 - EQUIPMENT RENTAL</v>
      </c>
      <c r="C57" s="11"/>
      <c r="D57" s="7"/>
      <c r="E57" s="2"/>
      <c r="F57" s="6">
        <f t="shared" si="36"/>
        <v>0</v>
      </c>
      <c r="G57" s="2"/>
      <c r="H57" s="7">
        <v>176</v>
      </c>
      <c r="I57" s="2"/>
      <c r="J57" s="6">
        <f t="shared" si="37"/>
        <v>4.2408616659839523E-3</v>
      </c>
      <c r="K57" s="2"/>
      <c r="L57" s="7">
        <f t="shared" si="38"/>
        <v>-176</v>
      </c>
      <c r="M57" s="2"/>
      <c r="N57" s="6">
        <f t="shared" si="39"/>
        <v>-1</v>
      </c>
      <c r="O57" s="11"/>
      <c r="P57" s="7"/>
      <c r="Q57" s="2"/>
      <c r="R57" s="6">
        <f t="shared" si="40"/>
        <v>0</v>
      </c>
      <c r="S57" s="2"/>
      <c r="T57" s="7">
        <v>528</v>
      </c>
      <c r="U57" s="2"/>
      <c r="V57" s="6">
        <f t="shared" si="41"/>
        <v>9.7750624826437107E-3</v>
      </c>
      <c r="W57" s="2"/>
      <c r="X57" s="7">
        <f t="shared" si="42"/>
        <v>-528</v>
      </c>
      <c r="Y57" s="2"/>
      <c r="Z57" s="6">
        <f t="shared" si="43"/>
        <v>-1</v>
      </c>
    </row>
    <row r="58" spans="1:26" s="28" customFormat="1" outlineLevel="1" collapsed="1" x14ac:dyDescent="0.25">
      <c r="A58" s="27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SUM(OSRRefD22_7x_0)</f>
        <v>0</v>
      </c>
      <c r="E58" s="1"/>
      <c r="F58" s="5">
        <f t="shared" si="36"/>
        <v>0</v>
      </c>
      <c r="G58" s="1"/>
      <c r="H58" s="1">
        <f>SUM(OSRRefH22_7x_0)</f>
        <v>300</v>
      </c>
      <c r="I58" s="1"/>
      <c r="J58" s="5">
        <f t="shared" si="37"/>
        <v>7.2287414761090093E-3</v>
      </c>
      <c r="K58" s="1"/>
      <c r="L58" s="1">
        <f t="shared" si="38"/>
        <v>-300</v>
      </c>
      <c r="M58" s="1"/>
      <c r="N58" s="5">
        <f t="shared" si="39"/>
        <v>-1</v>
      </c>
      <c r="O58" s="14"/>
      <c r="P58" s="1">
        <f>SUM(OSRRefP22_7x_0)</f>
        <v>1612</v>
      </c>
      <c r="Q58" s="1"/>
      <c r="R58" s="5">
        <f t="shared" si="40"/>
        <v>7.0769916990223933E-2</v>
      </c>
      <c r="S58" s="1"/>
      <c r="T58" s="1">
        <f>SUM(OSRRefT22_7x_0)</f>
        <v>300</v>
      </c>
      <c r="U58" s="1"/>
      <c r="V58" s="5">
        <f t="shared" si="41"/>
        <v>5.5540127742293808E-3</v>
      </c>
      <c r="W58" s="1"/>
      <c r="X58" s="1">
        <f t="shared" si="42"/>
        <v>1312</v>
      </c>
      <c r="Y58" s="1"/>
      <c r="Z58" s="5">
        <f t="shared" si="43"/>
        <v>4.3733333333333331</v>
      </c>
    </row>
    <row r="59" spans="1:26" s="24" customFormat="1" hidden="1" outlineLevel="2" x14ac:dyDescent="0.25">
      <c r="A59" s="29"/>
      <c r="B59" s="11" t="str">
        <f>CONCATENATE("          ", "6279", " - ", "GENERAL EXPENSE")</f>
        <v xml:space="preserve">          6279 - GENERAL EXPENSE</v>
      </c>
      <c r="C59" s="11"/>
      <c r="D59" s="7"/>
      <c r="E59" s="2"/>
      <c r="F59" s="6">
        <f t="shared" si="36"/>
        <v>0</v>
      </c>
      <c r="G59" s="2"/>
      <c r="H59" s="7">
        <v>300</v>
      </c>
      <c r="I59" s="2"/>
      <c r="J59" s="6">
        <f t="shared" si="37"/>
        <v>7.2287414761090093E-3</v>
      </c>
      <c r="K59" s="2"/>
      <c r="L59" s="7">
        <f t="shared" si="38"/>
        <v>-300</v>
      </c>
      <c r="M59" s="2"/>
      <c r="N59" s="6">
        <f t="shared" si="39"/>
        <v>-1</v>
      </c>
      <c r="O59" s="11"/>
      <c r="P59" s="7">
        <v>1612</v>
      </c>
      <c r="Q59" s="2"/>
      <c r="R59" s="6">
        <f t="shared" si="40"/>
        <v>7.0769916990223933E-2</v>
      </c>
      <c r="S59" s="2"/>
      <c r="T59" s="7">
        <v>300</v>
      </c>
      <c r="U59" s="2"/>
      <c r="V59" s="6">
        <f t="shared" si="41"/>
        <v>5.5540127742293808E-3</v>
      </c>
      <c r="W59" s="2"/>
      <c r="X59" s="7">
        <f t="shared" si="42"/>
        <v>1312</v>
      </c>
      <c r="Y59" s="2"/>
      <c r="Z59" s="6">
        <f t="shared" si="43"/>
        <v>4.3733333333333331</v>
      </c>
    </row>
    <row r="60" spans="1:26" s="28" customFormat="1" outlineLevel="1" collapsed="1" x14ac:dyDescent="0.25">
      <c r="A60" s="27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SUM(OSRRefD22_8x_0)</f>
        <v>331.01</v>
      </c>
      <c r="E60" s="1"/>
      <c r="F60" s="5">
        <f t="shared" si="36"/>
        <v>2.0543167275909366E-2</v>
      </c>
      <c r="G60" s="1"/>
      <c r="H60" s="1">
        <f>SUM(OSRRefH22_8x_0)</f>
        <v>330</v>
      </c>
      <c r="I60" s="1"/>
      <c r="J60" s="5">
        <f t="shared" si="37"/>
        <v>7.9516156237199112E-3</v>
      </c>
      <c r="K60" s="1"/>
      <c r="L60" s="1">
        <f t="shared" si="38"/>
        <v>1.0099999999999909</v>
      </c>
      <c r="M60" s="1"/>
      <c r="N60" s="5">
        <f t="shared" si="39"/>
        <v>3.0606060606060332E-3</v>
      </c>
      <c r="O60" s="14"/>
      <c r="P60" s="1">
        <f>SUM(OSRRefP22_8x_0)</f>
        <v>993.03</v>
      </c>
      <c r="Q60" s="1"/>
      <c r="R60" s="5">
        <f t="shared" si="40"/>
        <v>4.3595937139455372E-2</v>
      </c>
      <c r="S60" s="1"/>
      <c r="T60" s="1">
        <f>SUM(OSRRefT22_8x_0)</f>
        <v>990</v>
      </c>
      <c r="U60" s="1"/>
      <c r="V60" s="5">
        <f t="shared" si="41"/>
        <v>1.8328242154956955E-2</v>
      </c>
      <c r="W60" s="1"/>
      <c r="X60" s="1">
        <f t="shared" si="42"/>
        <v>3.0299999999999727</v>
      </c>
      <c r="Y60" s="1"/>
      <c r="Z60" s="5">
        <f t="shared" si="43"/>
        <v>3.0606060606060332E-3</v>
      </c>
    </row>
    <row r="61" spans="1:26" s="24" customFormat="1" hidden="1" outlineLevel="2" x14ac:dyDescent="0.25">
      <c r="A61" s="29"/>
      <c r="B61" s="11" t="str">
        <f>CONCATENATE("          ", "6314", " - ", "LIABILITY INSURANCE")</f>
        <v xml:space="preserve">          6314 - LIABILITY INSURANCE</v>
      </c>
      <c r="C61" s="11"/>
      <c r="D61" s="7">
        <v>331.01</v>
      </c>
      <c r="E61" s="2"/>
      <c r="F61" s="6">
        <f t="shared" si="36"/>
        <v>2.0543167275909366E-2</v>
      </c>
      <c r="G61" s="2"/>
      <c r="H61" s="7">
        <v>330</v>
      </c>
      <c r="I61" s="2"/>
      <c r="J61" s="6">
        <f t="shared" si="37"/>
        <v>7.9516156237199112E-3</v>
      </c>
      <c r="K61" s="2"/>
      <c r="L61" s="7">
        <f t="shared" si="38"/>
        <v>1.0099999999999909</v>
      </c>
      <c r="M61" s="2"/>
      <c r="N61" s="6">
        <f t="shared" si="39"/>
        <v>3.0606060606060332E-3</v>
      </c>
      <c r="O61" s="11"/>
      <c r="P61" s="7">
        <v>993.03</v>
      </c>
      <c r="Q61" s="2"/>
      <c r="R61" s="6">
        <f t="shared" si="40"/>
        <v>4.3595937139455372E-2</v>
      </c>
      <c r="S61" s="2"/>
      <c r="T61" s="7">
        <v>990</v>
      </c>
      <c r="U61" s="2"/>
      <c r="V61" s="6">
        <f t="shared" si="41"/>
        <v>1.8328242154956955E-2</v>
      </c>
      <c r="W61" s="2"/>
      <c r="X61" s="7">
        <f t="shared" si="42"/>
        <v>3.0299999999999727</v>
      </c>
      <c r="Y61" s="2"/>
      <c r="Z61" s="6">
        <f t="shared" si="43"/>
        <v>3.0606060606060332E-3</v>
      </c>
    </row>
    <row r="62" spans="1:26" s="28" customFormat="1" outlineLevel="1" collapsed="1" x14ac:dyDescent="0.25">
      <c r="A62" s="27"/>
      <c r="B62" s="14" t="str">
        <f>CONCATENATE("     ","Interest                                          ")</f>
        <v xml:space="preserve">     Interest                                          </v>
      </c>
      <c r="C62" s="14"/>
      <c r="D62" s="1">
        <f>SUM(OSRRefD22_9x_0)</f>
        <v>3905</v>
      </c>
      <c r="E62" s="1"/>
      <c r="F62" s="5">
        <f t="shared" si="36"/>
        <v>0.24235240087135154</v>
      </c>
      <c r="G62" s="1"/>
      <c r="H62" s="1">
        <f>SUM(OSRRefH22_9x_0)</f>
        <v>3905</v>
      </c>
      <c r="I62" s="1"/>
      <c r="J62" s="5">
        <f t="shared" si="37"/>
        <v>9.4094118214018946E-2</v>
      </c>
      <c r="K62" s="1"/>
      <c r="L62" s="1">
        <f t="shared" si="38"/>
        <v>0</v>
      </c>
      <c r="M62" s="1"/>
      <c r="N62" s="5">
        <f t="shared" si="39"/>
        <v>0</v>
      </c>
      <c r="O62" s="14"/>
      <c r="P62" s="1">
        <f>SUM(OSRRefP22_9x_0)</f>
        <v>11715</v>
      </c>
      <c r="Q62" s="1"/>
      <c r="R62" s="5">
        <f t="shared" si="40"/>
        <v>0.51431115232039282</v>
      </c>
      <c r="S62" s="1"/>
      <c r="T62" s="1">
        <f>SUM(OSRRefT22_9x_0)</f>
        <v>11715</v>
      </c>
      <c r="U62" s="1"/>
      <c r="V62" s="5">
        <f t="shared" si="41"/>
        <v>0.21688419883365731</v>
      </c>
      <c r="W62" s="1"/>
      <c r="X62" s="1">
        <f t="shared" si="42"/>
        <v>0</v>
      </c>
      <c r="Y62" s="1"/>
      <c r="Z62" s="5">
        <f t="shared" si="43"/>
        <v>0</v>
      </c>
    </row>
    <row r="63" spans="1:26" s="24" customFormat="1" hidden="1" outlineLevel="2" x14ac:dyDescent="0.25">
      <c r="A63" s="29"/>
      <c r="B63" s="11" t="str">
        <f>CONCATENATE("          ", "6401", " - ", "INTEREST EXPENSE")</f>
        <v xml:space="preserve">          6401 - INTEREST EXPENSE</v>
      </c>
      <c r="C63" s="11"/>
      <c r="D63" s="7">
        <v>3905</v>
      </c>
      <c r="E63" s="2"/>
      <c r="F63" s="6">
        <f t="shared" si="36"/>
        <v>0.24235240087135154</v>
      </c>
      <c r="G63" s="2"/>
      <c r="H63" s="7">
        <v>3905</v>
      </c>
      <c r="I63" s="2"/>
      <c r="J63" s="6">
        <f t="shared" si="37"/>
        <v>9.4094118214018946E-2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>
        <v>11715</v>
      </c>
      <c r="Q63" s="2"/>
      <c r="R63" s="6">
        <f t="shared" si="40"/>
        <v>0.51431115232039282</v>
      </c>
      <c r="S63" s="2"/>
      <c r="T63" s="7">
        <v>11715</v>
      </c>
      <c r="U63" s="2"/>
      <c r="V63" s="6">
        <f t="shared" si="41"/>
        <v>0.21688419883365731</v>
      </c>
      <c r="W63" s="2"/>
      <c r="X63" s="7">
        <f t="shared" si="42"/>
        <v>0</v>
      </c>
      <c r="Y63" s="2"/>
      <c r="Z63" s="6">
        <f t="shared" si="43"/>
        <v>0</v>
      </c>
    </row>
    <row r="64" spans="1:26" s="28" customFormat="1" outlineLevel="1" collapsed="1" x14ac:dyDescent="0.25">
      <c r="A64" s="27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SUM(OSRRefD22_10x_0)</f>
        <v>275.44</v>
      </c>
      <c r="E64" s="1"/>
      <c r="F64" s="5">
        <f t="shared" si="36"/>
        <v>1.7094377796672233E-2</v>
      </c>
      <c r="G64" s="1"/>
      <c r="H64" s="1">
        <f>SUM(OSRRefH22_10x_0)</f>
        <v>3208</v>
      </c>
      <c r="I64" s="1"/>
      <c r="J64" s="5">
        <f t="shared" si="37"/>
        <v>7.729934218452568E-2</v>
      </c>
      <c r="K64" s="1"/>
      <c r="L64" s="1">
        <f t="shared" si="38"/>
        <v>-2932.56</v>
      </c>
      <c r="M64" s="1"/>
      <c r="N64" s="5">
        <f t="shared" si="39"/>
        <v>-0.9141396508728179</v>
      </c>
      <c r="O64" s="14"/>
      <c r="P64" s="1">
        <f>SUM(OSRRefP22_10x_0)</f>
        <v>2198.4299999999998</v>
      </c>
      <c r="Q64" s="1"/>
      <c r="R64" s="5">
        <f t="shared" si="40"/>
        <v>9.6515327921102956E-2</v>
      </c>
      <c r="S64" s="1"/>
      <c r="T64" s="1">
        <f>SUM(OSRRefT22_10x_0)</f>
        <v>5446</v>
      </c>
      <c r="U64" s="1"/>
      <c r="V64" s="5">
        <f t="shared" si="41"/>
        <v>0.10082384522817736</v>
      </c>
      <c r="W64" s="1"/>
      <c r="X64" s="1">
        <f t="shared" si="42"/>
        <v>-3247.57</v>
      </c>
      <c r="Y64" s="1"/>
      <c r="Z64" s="5">
        <f t="shared" si="43"/>
        <v>-0.5963220712449504</v>
      </c>
    </row>
    <row r="65" spans="1:26" s="24" customFormat="1" hidden="1" outlineLevel="2" x14ac:dyDescent="0.25">
      <c r="A65" s="29"/>
      <c r="B65" s="11" t="str">
        <f>CONCATENATE("          ", "6371", " - ", "COMPUTER SOFTWARE MAINTENANCE")</f>
        <v xml:space="preserve">          6371 - COMPUTER SOFTWARE MAINTENANCE</v>
      </c>
      <c r="C65" s="11"/>
      <c r="D65" s="7"/>
      <c r="E65" s="2"/>
      <c r="F65" s="6">
        <f t="shared" si="36"/>
        <v>0</v>
      </c>
      <c r="G65" s="2"/>
      <c r="H65" s="7">
        <v>2623</v>
      </c>
      <c r="I65" s="2"/>
      <c r="J65" s="6">
        <f t="shared" si="37"/>
        <v>6.3203296306113099E-2</v>
      </c>
      <c r="K65" s="2"/>
      <c r="L65" s="7">
        <f t="shared" si="38"/>
        <v>-2623</v>
      </c>
      <c r="M65" s="2"/>
      <c r="N65" s="6">
        <f t="shared" si="39"/>
        <v>-1</v>
      </c>
      <c r="O65" s="11"/>
      <c r="P65" s="7"/>
      <c r="Q65" s="2"/>
      <c r="R65" s="6">
        <f t="shared" si="40"/>
        <v>0</v>
      </c>
      <c r="S65" s="2"/>
      <c r="T65" s="7">
        <v>2623</v>
      </c>
      <c r="U65" s="2"/>
      <c r="V65" s="6">
        <f t="shared" si="41"/>
        <v>4.8560585022678883E-2</v>
      </c>
      <c r="W65" s="2"/>
      <c r="X65" s="7">
        <f t="shared" si="42"/>
        <v>-2623</v>
      </c>
      <c r="Y65" s="2"/>
      <c r="Z65" s="6">
        <f t="shared" si="43"/>
        <v>-1</v>
      </c>
    </row>
    <row r="66" spans="1:26" s="24" customFormat="1" hidden="1" outlineLevel="2" x14ac:dyDescent="0.25">
      <c r="A66" s="29"/>
      <c r="B66" s="11" t="str">
        <f>CONCATENATE("          ", "6373", " - ", "MAINTENANCE CONTRACTS")</f>
        <v xml:space="preserve">          6373 - MAINTENANCE CONTRACTS</v>
      </c>
      <c r="C66" s="11"/>
      <c r="D66" s="7">
        <v>275.44</v>
      </c>
      <c r="E66" s="2"/>
      <c r="F66" s="6">
        <f t="shared" si="36"/>
        <v>1.7094377796672233E-2</v>
      </c>
      <c r="G66" s="2"/>
      <c r="H66" s="7">
        <v>138</v>
      </c>
      <c r="I66" s="2"/>
      <c r="J66" s="6">
        <f t="shared" si="37"/>
        <v>3.3252210790101445E-3</v>
      </c>
      <c r="K66" s="2"/>
      <c r="L66" s="7">
        <f t="shared" si="38"/>
        <v>137.44</v>
      </c>
      <c r="M66" s="2"/>
      <c r="N66" s="6">
        <f t="shared" si="39"/>
        <v>0.99594202898550721</v>
      </c>
      <c r="O66" s="11"/>
      <c r="P66" s="7">
        <v>275.44</v>
      </c>
      <c r="Q66" s="2"/>
      <c r="R66" s="6">
        <f t="shared" si="40"/>
        <v>1.2092348595401536E-2</v>
      </c>
      <c r="S66" s="2"/>
      <c r="T66" s="7">
        <v>548</v>
      </c>
      <c r="U66" s="2"/>
      <c r="V66" s="6">
        <f t="shared" si="41"/>
        <v>1.0145330000925669E-2</v>
      </c>
      <c r="W66" s="2"/>
      <c r="X66" s="7">
        <f t="shared" si="42"/>
        <v>-272.56</v>
      </c>
      <c r="Y66" s="2"/>
      <c r="Z66" s="6">
        <f t="shared" si="43"/>
        <v>-0.49737226277372265</v>
      </c>
    </row>
    <row r="67" spans="1:26" s="24" customFormat="1" hidden="1" outlineLevel="2" x14ac:dyDescent="0.25">
      <c r="A67" s="29"/>
      <c r="B67" s="11" t="str">
        <f>CONCATENATE("          ", "6375", " - ", "OUTSIDE REPAIRS &amp; MAINTENANCE")</f>
        <v xml:space="preserve">          6375 - OUTSIDE REPAIRS &amp; MAINTENANCE</v>
      </c>
      <c r="C67" s="11"/>
      <c r="D67" s="7"/>
      <c r="E67" s="2"/>
      <c r="F67" s="6">
        <f t="shared" si="36"/>
        <v>0</v>
      </c>
      <c r="G67" s="2"/>
      <c r="H67" s="7">
        <v>447</v>
      </c>
      <c r="I67" s="2"/>
      <c r="J67" s="6">
        <f t="shared" si="37"/>
        <v>1.0770824799402424E-2</v>
      </c>
      <c r="K67" s="2"/>
      <c r="L67" s="7">
        <f t="shared" si="38"/>
        <v>-447</v>
      </c>
      <c r="M67" s="2"/>
      <c r="N67" s="6">
        <f t="shared" si="39"/>
        <v>-1</v>
      </c>
      <c r="O67" s="11"/>
      <c r="P67" s="7">
        <v>1922.99</v>
      </c>
      <c r="Q67" s="2"/>
      <c r="R67" s="6">
        <f t="shared" si="40"/>
        <v>8.4422979325701433E-2</v>
      </c>
      <c r="S67" s="2"/>
      <c r="T67" s="7">
        <v>2275</v>
      </c>
      <c r="U67" s="2"/>
      <c r="V67" s="6">
        <f t="shared" si="41"/>
        <v>4.2117930204572801E-2</v>
      </c>
      <c r="W67" s="2"/>
      <c r="X67" s="7">
        <f t="shared" si="42"/>
        <v>-352.01</v>
      </c>
      <c r="Y67" s="2"/>
      <c r="Z67" s="6">
        <f t="shared" si="43"/>
        <v>-0.15472967032967033</v>
      </c>
    </row>
    <row r="68" spans="1:26" s="28" customFormat="1" outlineLevel="1" collapsed="1" x14ac:dyDescent="0.25">
      <c r="A68" s="27"/>
      <c r="B68" s="14" t="str">
        <f>CONCATENATE("     ","Royalty &amp; Commissions                             ")</f>
        <v xml:space="preserve">     Royalty &amp; Commissions                             </v>
      </c>
      <c r="C68" s="14"/>
      <c r="D68" s="1">
        <f>SUM(OSRRefD22_11x_0)</f>
        <v>0</v>
      </c>
      <c r="E68" s="1"/>
      <c r="F68" s="5">
        <f t="shared" ref="F68:F73" si="44">IF(D$12=0,0,D68/D$12)</f>
        <v>0</v>
      </c>
      <c r="G68" s="1"/>
      <c r="H68" s="1">
        <f>SUM(OSRRefH22_11x_0)</f>
        <v>1224</v>
      </c>
      <c r="I68" s="1"/>
      <c r="J68" s="5">
        <f t="shared" ref="J68:J73" si="45">IF(H$12=0,0,H68/H$12)</f>
        <v>2.9493265222524757E-2</v>
      </c>
      <c r="K68" s="1"/>
      <c r="L68" s="1">
        <f t="shared" ref="L68:L73" si="46">+D68-H68</f>
        <v>-1224</v>
      </c>
      <c r="M68" s="1"/>
      <c r="N68" s="5">
        <f t="shared" ref="N68:N73" si="47">IF(H68=0,0,L68/H68)</f>
        <v>-1</v>
      </c>
      <c r="O68" s="14"/>
      <c r="P68" s="1">
        <f>SUM(OSRRefP22_11x_0)</f>
        <v>0</v>
      </c>
      <c r="Q68" s="1"/>
      <c r="R68" s="5">
        <f t="shared" ref="R68:R73" si="48">IF(P$12=0,0,P68/P$12)</f>
        <v>0</v>
      </c>
      <c r="S68" s="1"/>
      <c r="T68" s="1">
        <f>SUM(OSRRefT22_11x_0)</f>
        <v>1629</v>
      </c>
      <c r="U68" s="1"/>
      <c r="V68" s="5">
        <f t="shared" ref="V68:V73" si="49">IF(T$12=0,0,T68/T$12)</f>
        <v>3.0158289364065536E-2</v>
      </c>
      <c r="W68" s="1"/>
      <c r="X68" s="1">
        <f t="shared" ref="X68:X73" si="50">+P68-T68</f>
        <v>-1629</v>
      </c>
      <c r="Y68" s="1"/>
      <c r="Z68" s="5">
        <f t="shared" ref="Z68:Z73" si="51">IF(T68=0,0,X68/T68)</f>
        <v>-1</v>
      </c>
    </row>
    <row r="69" spans="1:26" s="24" customFormat="1" hidden="1" outlineLevel="2" x14ac:dyDescent="0.25">
      <c r="A69" s="29"/>
      <c r="B69" s="11" t="str">
        <f>CONCATENATE("          ", "6259", " - ", "ROYALTY &amp; COMMISSIONS")</f>
        <v xml:space="preserve">          6259 - ROYALTY &amp; COMMISSIONS</v>
      </c>
      <c r="C69" s="11"/>
      <c r="D69" s="7"/>
      <c r="E69" s="2"/>
      <c r="F69" s="6">
        <f t="shared" si="44"/>
        <v>0</v>
      </c>
      <c r="G69" s="2"/>
      <c r="H69" s="7">
        <v>1224</v>
      </c>
      <c r="I69" s="2"/>
      <c r="J69" s="6">
        <f t="shared" si="45"/>
        <v>2.9493265222524757E-2</v>
      </c>
      <c r="K69" s="2"/>
      <c r="L69" s="7">
        <f t="shared" si="46"/>
        <v>-1224</v>
      </c>
      <c r="M69" s="2"/>
      <c r="N69" s="6">
        <f t="shared" si="47"/>
        <v>-1</v>
      </c>
      <c r="O69" s="11"/>
      <c r="P69" s="7"/>
      <c r="Q69" s="2"/>
      <c r="R69" s="6">
        <f t="shared" si="48"/>
        <v>0</v>
      </c>
      <c r="S69" s="2"/>
      <c r="T69" s="7">
        <v>1629</v>
      </c>
      <c r="U69" s="2"/>
      <c r="V69" s="6">
        <f t="shared" si="49"/>
        <v>3.0158289364065536E-2</v>
      </c>
      <c r="W69" s="2"/>
      <c r="X69" s="7">
        <f t="shared" si="50"/>
        <v>-1629</v>
      </c>
      <c r="Y69" s="2"/>
      <c r="Z69" s="6">
        <f t="shared" si="51"/>
        <v>-1</v>
      </c>
    </row>
    <row r="70" spans="1:26" s="28" customFormat="1" outlineLevel="1" collapsed="1" x14ac:dyDescent="0.25">
      <c r="A70" s="27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SUM(OSRRefD22_12x_0)</f>
        <v>424.13</v>
      </c>
      <c r="E70" s="1"/>
      <c r="F70" s="5">
        <f t="shared" si="44"/>
        <v>2.6322387652129662E-2</v>
      </c>
      <c r="G70" s="1"/>
      <c r="H70" s="1">
        <f>SUM(OSRRefH22_12x_0)</f>
        <v>292</v>
      </c>
      <c r="I70" s="1"/>
      <c r="J70" s="5">
        <f t="shared" si="45"/>
        <v>7.0359750367461026E-3</v>
      </c>
      <c r="K70" s="1"/>
      <c r="L70" s="1">
        <f t="shared" si="46"/>
        <v>132.13</v>
      </c>
      <c r="M70" s="1"/>
      <c r="N70" s="5">
        <f t="shared" si="47"/>
        <v>0.45249999999999996</v>
      </c>
      <c r="O70" s="14"/>
      <c r="P70" s="1">
        <f>SUM(OSRRefP22_12x_0)</f>
        <v>8351.869999999999</v>
      </c>
      <c r="Q70" s="1"/>
      <c r="R70" s="5">
        <f t="shared" si="48"/>
        <v>0.36666324231584457</v>
      </c>
      <c r="S70" s="1"/>
      <c r="T70" s="1">
        <f>SUM(OSRRefT22_12x_0)</f>
        <v>593</v>
      </c>
      <c r="U70" s="1"/>
      <c r="V70" s="5">
        <f t="shared" si="49"/>
        <v>1.0978431917060076E-2</v>
      </c>
      <c r="W70" s="1"/>
      <c r="X70" s="1">
        <f t="shared" si="50"/>
        <v>7758.869999999999</v>
      </c>
      <c r="Y70" s="1"/>
      <c r="Z70" s="5">
        <f t="shared" si="51"/>
        <v>13.084097807757166</v>
      </c>
    </row>
    <row r="71" spans="1:26" s="24" customFormat="1" hidden="1" outlineLevel="2" x14ac:dyDescent="0.25">
      <c r="A71" s="29"/>
      <c r="B71" s="11" t="str">
        <f>CONCATENATE("          ", "6282", " - ", "JANITORIAL/EXTERMINATOR EXPENS")</f>
        <v xml:space="preserve">          6282 - JANITORIAL/EXTERMINATOR EXPENS</v>
      </c>
      <c r="C71" s="11"/>
      <c r="D71" s="7">
        <v>320.25</v>
      </c>
      <c r="E71" s="2"/>
      <c r="F71" s="6">
        <f t="shared" si="44"/>
        <v>1.9875379354430303E-2</v>
      </c>
      <c r="G71" s="2"/>
      <c r="H71" s="7">
        <v>258</v>
      </c>
      <c r="I71" s="2"/>
      <c r="J71" s="6">
        <f t="shared" si="45"/>
        <v>6.2167176694537477E-3</v>
      </c>
      <c r="K71" s="2"/>
      <c r="L71" s="7">
        <f t="shared" si="46"/>
        <v>62.25</v>
      </c>
      <c r="M71" s="2"/>
      <c r="N71" s="6">
        <f t="shared" si="47"/>
        <v>0.24127906976744187</v>
      </c>
      <c r="O71" s="11"/>
      <c r="P71" s="7">
        <v>792.35</v>
      </c>
      <c r="Q71" s="2"/>
      <c r="R71" s="6">
        <f t="shared" si="48"/>
        <v>3.4785697101243129E-2</v>
      </c>
      <c r="S71" s="2"/>
      <c r="T71" s="7">
        <v>516</v>
      </c>
      <c r="U71" s="2"/>
      <c r="V71" s="6">
        <f t="shared" si="49"/>
        <v>9.552901971674535E-3</v>
      </c>
      <c r="W71" s="2"/>
      <c r="X71" s="7">
        <f t="shared" si="50"/>
        <v>276.35000000000002</v>
      </c>
      <c r="Y71" s="2"/>
      <c r="Z71" s="6">
        <f t="shared" si="51"/>
        <v>0.53556201550387605</v>
      </c>
    </row>
    <row r="72" spans="1:26" s="24" customFormat="1" hidden="1" outlineLevel="2" x14ac:dyDescent="0.25">
      <c r="A72" s="29"/>
      <c r="B72" s="11" t="str">
        <f>CONCATENATE("          ", "6285", " - ", "JANITORIAL SERVICES")</f>
        <v xml:space="preserve">          6285 - JANITORIAL SERVICES</v>
      </c>
      <c r="C72" s="11"/>
      <c r="D72" s="7">
        <v>51.94</v>
      </c>
      <c r="E72" s="2"/>
      <c r="F72" s="6">
        <f t="shared" si="44"/>
        <v>3.2235041488496794E-3</v>
      </c>
      <c r="G72" s="2"/>
      <c r="H72" s="7"/>
      <c r="I72" s="2"/>
      <c r="J72" s="6">
        <f t="shared" si="45"/>
        <v>0</v>
      </c>
      <c r="K72" s="2"/>
      <c r="L72" s="7">
        <f t="shared" si="46"/>
        <v>51.94</v>
      </c>
      <c r="M72" s="2"/>
      <c r="N72" s="6">
        <f t="shared" si="47"/>
        <v>0</v>
      </c>
      <c r="O72" s="11"/>
      <c r="P72" s="7">
        <v>7455.64</v>
      </c>
      <c r="Q72" s="2"/>
      <c r="R72" s="6">
        <f t="shared" si="48"/>
        <v>0.32731701235049204</v>
      </c>
      <c r="S72" s="2"/>
      <c r="T72" s="7"/>
      <c r="U72" s="2"/>
      <c r="V72" s="6">
        <f t="shared" si="49"/>
        <v>0</v>
      </c>
      <c r="W72" s="2"/>
      <c r="X72" s="7">
        <f t="shared" si="50"/>
        <v>7455.64</v>
      </c>
      <c r="Y72" s="2"/>
      <c r="Z72" s="6">
        <f t="shared" si="51"/>
        <v>0</v>
      </c>
    </row>
    <row r="73" spans="1:26" s="24" customFormat="1" hidden="1" outlineLevel="2" x14ac:dyDescent="0.25">
      <c r="A73" s="29"/>
      <c r="B73" s="11" t="str">
        <f>CONCATENATE("          ", "6286", " - ", "LAUNDRY EXPENSE")</f>
        <v xml:space="preserve">          6286 - LAUNDRY EXPENSE</v>
      </c>
      <c r="C73" s="11"/>
      <c r="D73" s="7">
        <v>51.94</v>
      </c>
      <c r="E73" s="2"/>
      <c r="F73" s="6">
        <f t="shared" si="44"/>
        <v>3.2235041488496794E-3</v>
      </c>
      <c r="G73" s="2"/>
      <c r="H73" s="7">
        <v>34</v>
      </c>
      <c r="I73" s="2"/>
      <c r="J73" s="6">
        <f t="shared" si="45"/>
        <v>8.192573672923544E-4</v>
      </c>
      <c r="K73" s="2"/>
      <c r="L73" s="7">
        <f t="shared" si="46"/>
        <v>17.939999999999998</v>
      </c>
      <c r="M73" s="2"/>
      <c r="N73" s="6">
        <f t="shared" si="47"/>
        <v>0.52764705882352936</v>
      </c>
      <c r="O73" s="11"/>
      <c r="P73" s="7">
        <v>103.88</v>
      </c>
      <c r="Q73" s="2"/>
      <c r="R73" s="6">
        <f t="shared" si="48"/>
        <v>4.5605328641094671E-3</v>
      </c>
      <c r="S73" s="2"/>
      <c r="T73" s="7">
        <v>77</v>
      </c>
      <c r="U73" s="2"/>
      <c r="V73" s="6">
        <f t="shared" si="49"/>
        <v>1.4255299453855412E-3</v>
      </c>
      <c r="W73" s="2"/>
      <c r="X73" s="7">
        <f t="shared" si="50"/>
        <v>26.879999999999995</v>
      </c>
      <c r="Y73" s="2"/>
      <c r="Z73" s="6">
        <f t="shared" si="51"/>
        <v>0.34909090909090901</v>
      </c>
    </row>
    <row r="74" spans="1:26" s="28" customFormat="1" outlineLevel="1" collapsed="1" x14ac:dyDescent="0.25">
      <c r="A74" s="27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SUM(OSRRefD22_13x_0)</f>
        <v>177.2</v>
      </c>
      <c r="E74" s="1"/>
      <c r="F74" s="5">
        <f t="shared" ref="F74:F79" si="52">IF(D$12=0,0,D74/D$12)</f>
        <v>1.0997399599078998E-2</v>
      </c>
      <c r="G74" s="1"/>
      <c r="H74" s="1">
        <f>SUM(OSRRefH22_13x_0)</f>
        <v>2550</v>
      </c>
      <c r="I74" s="1"/>
      <c r="J74" s="5">
        <f t="shared" ref="J74:J79" si="53">IF(H$12=0,0,H74/H$12)</f>
        <v>6.144430254692658E-2</v>
      </c>
      <c r="K74" s="1"/>
      <c r="L74" s="1">
        <f t="shared" ref="L74:L79" si="54">+D74-H74</f>
        <v>-2372.8000000000002</v>
      </c>
      <c r="M74" s="1"/>
      <c r="N74" s="5">
        <f t="shared" ref="N74:N79" si="55">IF(H74=0,0,L74/H74)</f>
        <v>-0.93050980392156868</v>
      </c>
      <c r="O74" s="14"/>
      <c r="P74" s="1">
        <f>SUM(OSRRefP22_13x_0)</f>
        <v>1019.9</v>
      </c>
      <c r="Q74" s="1"/>
      <c r="R74" s="5">
        <f t="shared" ref="R74:R79" si="56">IF(P$12=0,0,P74/P$12)</f>
        <v>4.4775582095737829E-2</v>
      </c>
      <c r="S74" s="1"/>
      <c r="T74" s="1">
        <f>SUM(OSRRefT22_13x_0)</f>
        <v>5000</v>
      </c>
      <c r="U74" s="1"/>
      <c r="V74" s="5">
        <f t="shared" ref="V74:V79" si="57">IF(T$12=0,0,T74/T$12)</f>
        <v>9.2566879570489674E-2</v>
      </c>
      <c r="W74" s="1"/>
      <c r="X74" s="1">
        <f t="shared" ref="X74:X79" si="58">+P74-T74</f>
        <v>-3980.1</v>
      </c>
      <c r="Y74" s="1"/>
      <c r="Z74" s="5">
        <f t="shared" ref="Z74:Z79" si="59">IF(T74=0,0,X74/T74)</f>
        <v>-0.79601999999999995</v>
      </c>
    </row>
    <row r="75" spans="1:26" s="24" customFormat="1" hidden="1" outlineLevel="2" x14ac:dyDescent="0.25">
      <c r="A75" s="29"/>
      <c r="B75" s="11" t="str">
        <f>CONCATENATE("          ", "6234", " - ", "EXPENDABLE SUPPLIES &amp; EQUIPMEN")</f>
        <v xml:space="preserve">          6234 - EXPENDABLE SUPPLIES &amp; EQUIPMEN</v>
      </c>
      <c r="C75" s="11"/>
      <c r="D75" s="7"/>
      <c r="E75" s="2"/>
      <c r="F75" s="6">
        <f t="shared" si="52"/>
        <v>0</v>
      </c>
      <c r="G75" s="2"/>
      <c r="H75" s="7">
        <v>50</v>
      </c>
      <c r="I75" s="2"/>
      <c r="J75" s="6">
        <f t="shared" si="53"/>
        <v>1.2047902460181681E-3</v>
      </c>
      <c r="K75" s="2"/>
      <c r="L75" s="7">
        <f t="shared" si="54"/>
        <v>-50</v>
      </c>
      <c r="M75" s="2"/>
      <c r="N75" s="6">
        <f t="shared" si="55"/>
        <v>-1</v>
      </c>
      <c r="O75" s="11"/>
      <c r="P75" s="7"/>
      <c r="Q75" s="2"/>
      <c r="R75" s="6">
        <f t="shared" si="56"/>
        <v>0</v>
      </c>
      <c r="S75" s="2"/>
      <c r="T75" s="7">
        <v>250</v>
      </c>
      <c r="U75" s="2"/>
      <c r="V75" s="6">
        <f t="shared" si="57"/>
        <v>4.6283439785244837E-3</v>
      </c>
      <c r="W75" s="2"/>
      <c r="X75" s="7">
        <f t="shared" si="58"/>
        <v>-250</v>
      </c>
      <c r="Y75" s="2"/>
      <c r="Z75" s="6">
        <f t="shared" si="59"/>
        <v>-1</v>
      </c>
    </row>
    <row r="76" spans="1:26" s="24" customFormat="1" hidden="1" outlineLevel="2" x14ac:dyDescent="0.25">
      <c r="A76" s="29"/>
      <c r="B76" s="11" t="str">
        <f>CONCATENATE("          ", "6237", " - ", "JANITORIAL SUPPLIES")</f>
        <v xml:space="preserve">          6237 - JANITORIAL SUPPLIES</v>
      </c>
      <c r="C76" s="11"/>
      <c r="D76" s="7">
        <v>119.22</v>
      </c>
      <c r="E76" s="2"/>
      <c r="F76" s="6">
        <f t="shared" si="52"/>
        <v>7.3990405203284322E-3</v>
      </c>
      <c r="G76" s="2"/>
      <c r="H76" s="7">
        <v>0</v>
      </c>
      <c r="I76" s="2"/>
      <c r="J76" s="6">
        <f t="shared" si="53"/>
        <v>0</v>
      </c>
      <c r="K76" s="2"/>
      <c r="L76" s="7">
        <f t="shared" si="54"/>
        <v>119.22</v>
      </c>
      <c r="M76" s="2"/>
      <c r="N76" s="6">
        <f t="shared" si="55"/>
        <v>0</v>
      </c>
      <c r="O76" s="11"/>
      <c r="P76" s="7">
        <v>527.17999999999995</v>
      </c>
      <c r="Q76" s="2"/>
      <c r="R76" s="6">
        <f t="shared" si="56"/>
        <v>2.3144221364085761E-2</v>
      </c>
      <c r="S76" s="2"/>
      <c r="T76" s="7">
        <v>50</v>
      </c>
      <c r="U76" s="2"/>
      <c r="V76" s="6">
        <f t="shared" si="57"/>
        <v>9.2566879570489676E-4</v>
      </c>
      <c r="W76" s="2"/>
      <c r="X76" s="7">
        <f t="shared" si="58"/>
        <v>477.17999999999995</v>
      </c>
      <c r="Y76" s="2"/>
      <c r="Z76" s="6">
        <f t="shared" si="59"/>
        <v>9.5435999999999996</v>
      </c>
    </row>
    <row r="77" spans="1:26" s="24" customFormat="1" hidden="1" outlineLevel="2" x14ac:dyDescent="0.25">
      <c r="A77" s="29"/>
      <c r="B77" s="11" t="str">
        <f>CONCATENATE("          ", "6241", " - ", "OFFICE EXPENSE")</f>
        <v xml:space="preserve">          6241 - OFFICE EXPENSE</v>
      </c>
      <c r="C77" s="11"/>
      <c r="D77" s="7"/>
      <c r="E77" s="2"/>
      <c r="F77" s="6">
        <f t="shared" si="52"/>
        <v>0</v>
      </c>
      <c r="G77" s="2"/>
      <c r="H77" s="7"/>
      <c r="I77" s="2"/>
      <c r="J77" s="6">
        <f t="shared" si="53"/>
        <v>0</v>
      </c>
      <c r="K77" s="2"/>
      <c r="L77" s="7">
        <f t="shared" si="54"/>
        <v>0</v>
      </c>
      <c r="M77" s="2"/>
      <c r="N77" s="6">
        <f t="shared" si="55"/>
        <v>0</v>
      </c>
      <c r="O77" s="11"/>
      <c r="P77" s="7">
        <v>134.74</v>
      </c>
      <c r="Q77" s="2"/>
      <c r="R77" s="6">
        <f t="shared" si="56"/>
        <v>5.915346535522812E-3</v>
      </c>
      <c r="S77" s="2"/>
      <c r="T77" s="7"/>
      <c r="U77" s="2"/>
      <c r="V77" s="6">
        <f t="shared" si="57"/>
        <v>0</v>
      </c>
      <c r="W77" s="2"/>
      <c r="X77" s="7">
        <f t="shared" si="58"/>
        <v>134.74</v>
      </c>
      <c r="Y77" s="2"/>
      <c r="Z77" s="6">
        <f t="shared" si="59"/>
        <v>0</v>
      </c>
    </row>
    <row r="78" spans="1:26" s="24" customFormat="1" hidden="1" outlineLevel="2" x14ac:dyDescent="0.25">
      <c r="A78" s="29"/>
      <c r="B78" s="11" t="str">
        <f>CONCATENATE("          ", "6243", " - ", "PAPER SUPPLIES")</f>
        <v xml:space="preserve">          6243 - PAPER SUPPLIES</v>
      </c>
      <c r="C78" s="11"/>
      <c r="D78" s="7"/>
      <c r="E78" s="2"/>
      <c r="F78" s="6">
        <f t="shared" si="52"/>
        <v>0</v>
      </c>
      <c r="G78" s="2"/>
      <c r="H78" s="7">
        <v>200</v>
      </c>
      <c r="I78" s="2"/>
      <c r="J78" s="6">
        <f t="shared" si="53"/>
        <v>4.8191609840726726E-3</v>
      </c>
      <c r="K78" s="2"/>
      <c r="L78" s="7">
        <f t="shared" si="54"/>
        <v>-200</v>
      </c>
      <c r="M78" s="2"/>
      <c r="N78" s="6">
        <f t="shared" si="55"/>
        <v>-1</v>
      </c>
      <c r="O78" s="11"/>
      <c r="P78" s="7"/>
      <c r="Q78" s="2"/>
      <c r="R78" s="6">
        <f t="shared" si="56"/>
        <v>0</v>
      </c>
      <c r="S78" s="2"/>
      <c r="T78" s="7">
        <v>400</v>
      </c>
      <c r="U78" s="2"/>
      <c r="V78" s="6">
        <f t="shared" si="57"/>
        <v>7.4053503656391741E-3</v>
      </c>
      <c r="W78" s="2"/>
      <c r="X78" s="7">
        <f t="shared" si="58"/>
        <v>-400</v>
      </c>
      <c r="Y78" s="2"/>
      <c r="Z78" s="6">
        <f t="shared" si="59"/>
        <v>-1</v>
      </c>
    </row>
    <row r="79" spans="1:26" s="24" customFormat="1" hidden="1" outlineLevel="2" x14ac:dyDescent="0.25">
      <c r="A79" s="29"/>
      <c r="B79" s="11" t="str">
        <f>CONCATENATE("          ", "6247", " - ", "STORE SUPPLIES")</f>
        <v xml:space="preserve">          6247 - STORE SUPPLIES</v>
      </c>
      <c r="C79" s="11"/>
      <c r="D79" s="7">
        <v>57.98</v>
      </c>
      <c r="E79" s="2"/>
      <c r="F79" s="6">
        <f t="shared" si="52"/>
        <v>3.5983590787505662E-3</v>
      </c>
      <c r="G79" s="2"/>
      <c r="H79" s="7">
        <v>2300</v>
      </c>
      <c r="I79" s="2"/>
      <c r="J79" s="6">
        <f t="shared" si="53"/>
        <v>5.5420351316835738E-2</v>
      </c>
      <c r="K79" s="2"/>
      <c r="L79" s="7">
        <f t="shared" si="54"/>
        <v>-2242.02</v>
      </c>
      <c r="M79" s="2"/>
      <c r="N79" s="6">
        <f t="shared" si="55"/>
        <v>-0.97479130434782613</v>
      </c>
      <c r="O79" s="11"/>
      <c r="P79" s="7">
        <v>357.98</v>
      </c>
      <c r="Q79" s="2"/>
      <c r="R79" s="6">
        <f t="shared" si="56"/>
        <v>1.5716014196129256E-2</v>
      </c>
      <c r="S79" s="2"/>
      <c r="T79" s="7">
        <v>4300</v>
      </c>
      <c r="U79" s="2"/>
      <c r="V79" s="6">
        <f t="shared" si="57"/>
        <v>7.9607516430621125E-2</v>
      </c>
      <c r="W79" s="2"/>
      <c r="X79" s="7">
        <f t="shared" si="58"/>
        <v>-3942.02</v>
      </c>
      <c r="Y79" s="2"/>
      <c r="Z79" s="6">
        <f t="shared" si="59"/>
        <v>-0.91674883720930234</v>
      </c>
    </row>
    <row r="80" spans="1:26" s="28" customFormat="1" outlineLevel="1" collapsed="1" x14ac:dyDescent="0.25">
      <c r="A80" s="27"/>
      <c r="B80" s="14" t="str">
        <f>CONCATENATE("     ","Telephone/Data Lines                              ")</f>
        <v xml:space="preserve">     Telephone/Data Lines                              </v>
      </c>
      <c r="C80" s="14"/>
      <c r="D80" s="1">
        <f>SUM(OSRRefD22_14x_0)</f>
        <v>375.5</v>
      </c>
      <c r="E80" s="1"/>
      <c r="F80" s="5">
        <f t="shared" ref="F80:F82" si="60">IF(D$12=0,0,D80/D$12)</f>
        <v>2.3304308969831627E-2</v>
      </c>
      <c r="G80" s="1"/>
      <c r="H80" s="1">
        <f>SUM(OSRRefH22_14x_0)</f>
        <v>178</v>
      </c>
      <c r="I80" s="1"/>
      <c r="J80" s="5">
        <f t="shared" ref="J80:J82" si="61">IF(H$12=0,0,H80/H$12)</f>
        <v>4.2890532758246792E-3</v>
      </c>
      <c r="K80" s="1"/>
      <c r="L80" s="1">
        <f t="shared" ref="L80:L82" si="62">+D80-H80</f>
        <v>197.5</v>
      </c>
      <c r="M80" s="1"/>
      <c r="N80" s="5">
        <f t="shared" ref="N80:N82" si="63">IF(H80=0,0,L80/H80)</f>
        <v>1.1095505617977528</v>
      </c>
      <c r="O80" s="14"/>
      <c r="P80" s="1">
        <f>SUM(OSRRefP22_14x_0)</f>
        <v>645.5</v>
      </c>
      <c r="Q80" s="1"/>
      <c r="R80" s="5">
        <f t="shared" ref="R80:R82" si="64">IF(P$12=0,0,P80/P$12)</f>
        <v>2.8338698149621304E-2</v>
      </c>
      <c r="S80" s="1"/>
      <c r="T80" s="1">
        <f>SUM(OSRRefT22_14x_0)</f>
        <v>534</v>
      </c>
      <c r="U80" s="1"/>
      <c r="V80" s="5">
        <f t="shared" ref="V80:V82" si="65">IF(T$12=0,0,T80/T$12)</f>
        <v>9.8861427381282969E-3</v>
      </c>
      <c r="W80" s="1"/>
      <c r="X80" s="1">
        <f t="shared" ref="X80:X82" si="66">+P80-T80</f>
        <v>111.5</v>
      </c>
      <c r="Y80" s="1"/>
      <c r="Z80" s="5">
        <f t="shared" ref="Z80:Z82" si="67">IF(T80=0,0,X80/T80)</f>
        <v>0.20880149812734083</v>
      </c>
    </row>
    <row r="81" spans="1:26" s="24" customFormat="1" hidden="1" outlineLevel="2" x14ac:dyDescent="0.25">
      <c r="A81" s="29"/>
      <c r="B81" s="11" t="str">
        <f>CONCATENATE("          ", "6303", " - ", "DATA PHONE LINES")</f>
        <v xml:space="preserve">          6303 - DATA PHONE LINES</v>
      </c>
      <c r="C81" s="11"/>
      <c r="D81" s="7"/>
      <c r="E81" s="2"/>
      <c r="F81" s="6">
        <f t="shared" si="60"/>
        <v>0</v>
      </c>
      <c r="G81" s="2"/>
      <c r="H81" s="7">
        <v>50</v>
      </c>
      <c r="I81" s="2"/>
      <c r="J81" s="6">
        <f t="shared" si="61"/>
        <v>1.2047902460181681E-3</v>
      </c>
      <c r="K81" s="2"/>
      <c r="L81" s="7">
        <f t="shared" si="62"/>
        <v>-50</v>
      </c>
      <c r="M81" s="2"/>
      <c r="N81" s="6">
        <f t="shared" si="63"/>
        <v>-1</v>
      </c>
      <c r="O81" s="11"/>
      <c r="P81" s="7"/>
      <c r="Q81" s="2"/>
      <c r="R81" s="6">
        <f t="shared" si="64"/>
        <v>0</v>
      </c>
      <c r="S81" s="2"/>
      <c r="T81" s="7">
        <v>150</v>
      </c>
      <c r="U81" s="2"/>
      <c r="V81" s="6">
        <f t="shared" si="65"/>
        <v>2.7770063871146904E-3</v>
      </c>
      <c r="W81" s="2"/>
      <c r="X81" s="7">
        <f t="shared" si="66"/>
        <v>-150</v>
      </c>
      <c r="Y81" s="2"/>
      <c r="Z81" s="6">
        <f t="shared" si="67"/>
        <v>-1</v>
      </c>
    </row>
    <row r="82" spans="1:26" s="24" customFormat="1" hidden="1" outlineLevel="2" x14ac:dyDescent="0.25">
      <c r="A82" s="29"/>
      <c r="B82" s="11" t="str">
        <f>CONCATENATE("          ", "6309", " - ", "TELEPHONE")</f>
        <v xml:space="preserve">          6309 - TELEPHONE</v>
      </c>
      <c r="C82" s="11"/>
      <c r="D82" s="7">
        <v>375.5</v>
      </c>
      <c r="E82" s="2"/>
      <c r="F82" s="6">
        <f t="shared" si="60"/>
        <v>2.3304308969831627E-2</v>
      </c>
      <c r="G82" s="2"/>
      <c r="H82" s="7">
        <v>128</v>
      </c>
      <c r="I82" s="2"/>
      <c r="J82" s="6">
        <f t="shared" si="61"/>
        <v>3.0842630298065108E-3</v>
      </c>
      <c r="K82" s="2"/>
      <c r="L82" s="7">
        <f t="shared" si="62"/>
        <v>247.5</v>
      </c>
      <c r="M82" s="2"/>
      <c r="N82" s="6">
        <f t="shared" si="63"/>
        <v>1.93359375</v>
      </c>
      <c r="O82" s="11"/>
      <c r="P82" s="7">
        <v>645.5</v>
      </c>
      <c r="Q82" s="2"/>
      <c r="R82" s="6">
        <f t="shared" si="64"/>
        <v>2.8338698149621304E-2</v>
      </c>
      <c r="S82" s="2"/>
      <c r="T82" s="7">
        <v>384</v>
      </c>
      <c r="U82" s="2"/>
      <c r="V82" s="6">
        <f t="shared" si="65"/>
        <v>7.1091363510136073E-3</v>
      </c>
      <c r="W82" s="2"/>
      <c r="X82" s="7">
        <f t="shared" si="66"/>
        <v>261.5</v>
      </c>
      <c r="Y82" s="2"/>
      <c r="Z82" s="6">
        <f t="shared" si="67"/>
        <v>0.68098958333333337</v>
      </c>
    </row>
    <row r="83" spans="1:26" s="28" customFormat="1" outlineLevel="1" collapsed="1" x14ac:dyDescent="0.25">
      <c r="A83" s="27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SUM(OSRRefD22_15x_0)</f>
        <v>0</v>
      </c>
      <c r="E83" s="1"/>
      <c r="F83" s="5">
        <f t="shared" ref="F83:F86" si="68">IF(D$12=0,0,D83/D$12)</f>
        <v>0</v>
      </c>
      <c r="G83" s="1"/>
      <c r="H83" s="1">
        <f>SUM(OSRRefH22_15x_0)</f>
        <v>0</v>
      </c>
      <c r="I83" s="1"/>
      <c r="J83" s="5">
        <f t="shared" ref="J83:J86" si="69">IF(H$12=0,0,H83/H$12)</f>
        <v>0</v>
      </c>
      <c r="K83" s="1"/>
      <c r="L83" s="1">
        <f t="shared" ref="L83:L86" si="70">+D83-H83</f>
        <v>0</v>
      </c>
      <c r="M83" s="1"/>
      <c r="N83" s="5">
        <f t="shared" ref="N83:N86" si="71">IF(H83=0,0,L83/H83)</f>
        <v>0</v>
      </c>
      <c r="O83" s="14"/>
      <c r="P83" s="1">
        <f>SUM(OSRRefP22_15x_0)</f>
        <v>0</v>
      </c>
      <c r="Q83" s="1"/>
      <c r="R83" s="5">
        <f t="shared" ref="R83:R86" si="72">IF(P$12=0,0,P83/P$12)</f>
        <v>0</v>
      </c>
      <c r="S83" s="1"/>
      <c r="T83" s="1">
        <f>SUM(OSRRefT22_15x_0)</f>
        <v>75</v>
      </c>
      <c r="U83" s="1"/>
      <c r="V83" s="5">
        <f t="shared" ref="V83:V86" si="73">IF(T$12=0,0,T83/T$12)</f>
        <v>1.3885031935573452E-3</v>
      </c>
      <c r="W83" s="1"/>
      <c r="X83" s="1">
        <f t="shared" ref="X83:X86" si="74">+P83-T83</f>
        <v>-75</v>
      </c>
      <c r="Y83" s="1"/>
      <c r="Z83" s="5">
        <f t="shared" ref="Z83:Z86" si="75">IF(T83=0,0,X83/T83)</f>
        <v>-1</v>
      </c>
    </row>
    <row r="84" spans="1:26" s="24" customFormat="1" hidden="1" outlineLevel="2" x14ac:dyDescent="0.25">
      <c r="A84" s="29"/>
      <c r="B84" s="11" t="str">
        <f>CONCATENATE("          ", "6376", " - ", "TRAINING")</f>
        <v xml:space="preserve">          6376 - TRAINING</v>
      </c>
      <c r="C84" s="11"/>
      <c r="D84" s="7"/>
      <c r="E84" s="2"/>
      <c r="F84" s="6">
        <f t="shared" si="68"/>
        <v>0</v>
      </c>
      <c r="G84" s="2"/>
      <c r="H84" s="7"/>
      <c r="I84" s="2"/>
      <c r="J84" s="6">
        <f t="shared" si="69"/>
        <v>0</v>
      </c>
      <c r="K84" s="2"/>
      <c r="L84" s="7">
        <f t="shared" si="70"/>
        <v>0</v>
      </c>
      <c r="M84" s="2"/>
      <c r="N84" s="6">
        <f t="shared" si="71"/>
        <v>0</v>
      </c>
      <c r="O84" s="11"/>
      <c r="P84" s="7"/>
      <c r="Q84" s="2"/>
      <c r="R84" s="6">
        <f t="shared" si="72"/>
        <v>0</v>
      </c>
      <c r="S84" s="2"/>
      <c r="T84" s="7">
        <v>75</v>
      </c>
      <c r="U84" s="2"/>
      <c r="V84" s="6">
        <f t="shared" si="73"/>
        <v>1.3885031935573452E-3</v>
      </c>
      <c r="W84" s="2"/>
      <c r="X84" s="7">
        <f t="shared" si="74"/>
        <v>-75</v>
      </c>
      <c r="Y84" s="2"/>
      <c r="Z84" s="6">
        <f t="shared" si="75"/>
        <v>-1</v>
      </c>
    </row>
    <row r="85" spans="1:26" s="28" customFormat="1" outlineLevel="1" collapsed="1" x14ac:dyDescent="0.25">
      <c r="A85" s="27"/>
      <c r="B85" s="14" t="str">
        <f>CONCATENATE("     ","Utilities                                         ")</f>
        <v xml:space="preserve">     Utilities                                         </v>
      </c>
      <c r="C85" s="14"/>
      <c r="D85" s="1">
        <f>SUM(OSRRefD22_16x_0)</f>
        <v>100</v>
      </c>
      <c r="E85" s="1"/>
      <c r="F85" s="5">
        <f t="shared" si="68"/>
        <v>6.2062074486901797E-3</v>
      </c>
      <c r="G85" s="1"/>
      <c r="H85" s="1">
        <f>SUM(OSRRefH22_16x_0)</f>
        <v>0</v>
      </c>
      <c r="I85" s="1"/>
      <c r="J85" s="5">
        <f t="shared" si="69"/>
        <v>0</v>
      </c>
      <c r="K85" s="1"/>
      <c r="L85" s="1">
        <f t="shared" si="70"/>
        <v>100</v>
      </c>
      <c r="M85" s="1"/>
      <c r="N85" s="5">
        <f t="shared" si="71"/>
        <v>0</v>
      </c>
      <c r="O85" s="14"/>
      <c r="P85" s="1">
        <f>SUM(OSRRefP22_16x_0)</f>
        <v>300</v>
      </c>
      <c r="Q85" s="1"/>
      <c r="R85" s="5">
        <f t="shared" si="72"/>
        <v>1.3170580085029266E-2</v>
      </c>
      <c r="S85" s="1"/>
      <c r="T85" s="1">
        <f>SUM(OSRRefT22_16x_0)</f>
        <v>0</v>
      </c>
      <c r="U85" s="1"/>
      <c r="V85" s="5">
        <f t="shared" si="73"/>
        <v>0</v>
      </c>
      <c r="W85" s="1"/>
      <c r="X85" s="1">
        <f t="shared" si="74"/>
        <v>300</v>
      </c>
      <c r="Y85" s="1"/>
      <c r="Z85" s="5">
        <f t="shared" si="75"/>
        <v>0</v>
      </c>
    </row>
    <row r="86" spans="1:26" s="24" customFormat="1" hidden="1" outlineLevel="2" x14ac:dyDescent="0.25">
      <c r="A86" s="29"/>
      <c r="B86" s="11" t="str">
        <f>CONCATENATE("          ", "6274", " - ", "UTILITIES")</f>
        <v xml:space="preserve">          6274 - UTILITIES</v>
      </c>
      <c r="C86" s="11"/>
      <c r="D86" s="7">
        <v>100</v>
      </c>
      <c r="E86" s="2"/>
      <c r="F86" s="6">
        <f t="shared" si="68"/>
        <v>6.2062074486901797E-3</v>
      </c>
      <c r="G86" s="2"/>
      <c r="H86" s="7">
        <v>0</v>
      </c>
      <c r="I86" s="2"/>
      <c r="J86" s="6">
        <f t="shared" si="69"/>
        <v>0</v>
      </c>
      <c r="K86" s="2"/>
      <c r="L86" s="7">
        <f t="shared" si="70"/>
        <v>100</v>
      </c>
      <c r="M86" s="2"/>
      <c r="N86" s="6">
        <f t="shared" si="71"/>
        <v>0</v>
      </c>
      <c r="O86" s="11"/>
      <c r="P86" s="7">
        <v>300</v>
      </c>
      <c r="Q86" s="2"/>
      <c r="R86" s="6">
        <f t="shared" si="72"/>
        <v>1.3170580085029266E-2</v>
      </c>
      <c r="S86" s="2"/>
      <c r="T86" s="7">
        <v>0</v>
      </c>
      <c r="U86" s="2"/>
      <c r="V86" s="6">
        <f t="shared" si="73"/>
        <v>0</v>
      </c>
      <c r="W86" s="2"/>
      <c r="X86" s="7">
        <f t="shared" si="74"/>
        <v>300</v>
      </c>
      <c r="Y86" s="2"/>
      <c r="Z86" s="6">
        <f t="shared" si="75"/>
        <v>0</v>
      </c>
    </row>
    <row r="87" spans="1:26" s="58" customFormat="1" x14ac:dyDescent="0.25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25">
      <c r="A88" s="10"/>
      <c r="B88" s="26" t="s">
        <v>293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5" t="s">
        <v>277</v>
      </c>
      <c r="C90" s="25"/>
      <c r="D90" s="21">
        <f>+D23-D25+D88</f>
        <v>-10334.239999999998</v>
      </c>
      <c r="E90" s="13"/>
      <c r="F90" s="20">
        <f>IF(D$12=0,0,D90/D$12)</f>
        <v>-0.64136437264551993</v>
      </c>
      <c r="G90" s="13"/>
      <c r="H90" s="21">
        <f>+H23-H25+H88</f>
        <v>-21129.831412307693</v>
      </c>
      <c r="I90" s="13"/>
      <c r="J90" s="20">
        <f>IF(H$12=0,0,H90/H$12)</f>
        <v>-0.50914029571113206</v>
      </c>
      <c r="K90" s="16"/>
      <c r="L90" s="21">
        <f>+D90-H90</f>
        <v>10795.591412307695</v>
      </c>
      <c r="M90" s="16"/>
      <c r="N90" s="20">
        <f>IF(H90=0,0,L90/H90)</f>
        <v>-0.51091706325775432</v>
      </c>
      <c r="O90" s="26"/>
      <c r="P90" s="21">
        <f>+P23-P25+P88</f>
        <v>-46926.98</v>
      </c>
      <c r="Q90" s="13"/>
      <c r="R90" s="20">
        <f>IF(P$12=0,0,P90/P$12)</f>
        <v>-2.0601851607952226</v>
      </c>
      <c r="S90" s="13"/>
      <c r="T90" s="21">
        <f>+T23-T25+T88</f>
        <v>-69899.760515000002</v>
      </c>
      <c r="U90" s="13"/>
      <c r="V90" s="20">
        <f>IF(T$12=0,0,T90/T$12)</f>
        <v>-1.2940805427196149</v>
      </c>
      <c r="W90" s="16"/>
      <c r="X90" s="21">
        <f>+P90-T90</f>
        <v>22972.780514999999</v>
      </c>
      <c r="Y90" s="16"/>
      <c r="Z90" s="20">
        <f>IF(T90=0,0,X90/T90)</f>
        <v>-0.32865320776127982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2"/>
      <c r="B92" s="10" t="s">
        <v>128</v>
      </c>
      <c r="C92" s="10"/>
      <c r="D92" s="4">
        <v>1823.38</v>
      </c>
      <c r="E92" s="4"/>
      <c r="F92" s="12">
        <f>IF(D$12=0,0,D92/D$12)</f>
        <v>0.11316274537792702</v>
      </c>
      <c r="G92" s="4"/>
      <c r="H92" s="4">
        <v>4463</v>
      </c>
      <c r="I92" s="4"/>
      <c r="J92" s="12">
        <f>IF(H$12=0,0,H92/H$12)</f>
        <v>0.1075395773595817</v>
      </c>
      <c r="K92" s="4"/>
      <c r="L92" s="4">
        <f>+D92-H92</f>
        <v>-2639.62</v>
      </c>
      <c r="M92" s="4"/>
      <c r="N92" s="12">
        <f>IF(H92=0,0,L92/H92)</f>
        <v>-0.59144521622227197</v>
      </c>
      <c r="O92" s="10"/>
      <c r="P92" s="4">
        <v>2819.37</v>
      </c>
      <c r="Q92" s="4"/>
      <c r="R92" s="12">
        <f>IF(P$12=0,0,P92/P$12)</f>
        <v>0.12377579458109654</v>
      </c>
      <c r="S92" s="4"/>
      <c r="T92" s="4">
        <v>5864</v>
      </c>
      <c r="U92" s="4"/>
      <c r="V92" s="12">
        <f>IF(T$12=0,0,T92/T$12)</f>
        <v>0.1085624363602703</v>
      </c>
      <c r="W92" s="4"/>
      <c r="X92" s="4">
        <f>+P92-T92</f>
        <v>-3044.63</v>
      </c>
      <c r="Y92" s="4"/>
      <c r="Z92" s="12">
        <f>IF(T92=0,0,X92/T92)</f>
        <v>-0.51920702592087309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5" t="s">
        <v>126</v>
      </c>
      <c r="C94" s="25"/>
      <c r="D94" s="33">
        <f>+D90-D92</f>
        <v>-12157.619999999999</v>
      </c>
      <c r="E94" s="13"/>
      <c r="F94" s="31">
        <f>IF(D$12=0,0,D94/D$12)</f>
        <v>-0.75452711802344696</v>
      </c>
      <c r="G94" s="13"/>
      <c r="H94" s="33">
        <f>+H90-H92</f>
        <v>-25592.831412307693</v>
      </c>
      <c r="I94" s="13"/>
      <c r="J94" s="31">
        <f>IF(H$12=0,0,H94/H$12)</f>
        <v>-0.61667987307071381</v>
      </c>
      <c r="K94" s="16"/>
      <c r="L94" s="33">
        <f>D94-H94</f>
        <v>13435.211412307694</v>
      </c>
      <c r="M94" s="16"/>
      <c r="N94" s="31">
        <f>IF(H94=0,0,L94/H94)</f>
        <v>-0.5249599466296897</v>
      </c>
      <c r="O94" s="26"/>
      <c r="P94" s="33">
        <f>+P90-P92</f>
        <v>-49746.350000000006</v>
      </c>
      <c r="Q94" s="13"/>
      <c r="R94" s="31">
        <f>IF(P$12=0,0,P94/P$12)</f>
        <v>-2.1839609553763193</v>
      </c>
      <c r="S94" s="13"/>
      <c r="T94" s="33">
        <f>+T90-T92</f>
        <v>-75763.760515000002</v>
      </c>
      <c r="U94" s="13"/>
      <c r="V94" s="31">
        <f>IF(T$12=0,0,T94/T$12)</f>
        <v>-1.4026429790798853</v>
      </c>
      <c r="W94" s="16"/>
      <c r="X94" s="33">
        <f>P94-T94</f>
        <v>26017.410514999996</v>
      </c>
      <c r="Y94" s="16"/>
      <c r="Z94" s="31">
        <f>IF(T94=0,0,X94/T94)</f>
        <v>-0.34340178388913217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5" t="s">
        <v>294</v>
      </c>
      <c r="C97" s="25"/>
      <c r="D97" s="35">
        <f>SUM(D94:D96)</f>
        <v>-12157.619999999999</v>
      </c>
      <c r="E97" s="13"/>
      <c r="F97" s="34">
        <f>IF(D$12=0,0,D97/D$12)</f>
        <v>-0.75452711802344696</v>
      </c>
      <c r="G97" s="13"/>
      <c r="H97" s="35">
        <f>SUM(H94:H96)</f>
        <v>-25592.831412307693</v>
      </c>
      <c r="I97" s="13"/>
      <c r="J97" s="34">
        <f>IF(H$12=0,0,H97/H$12)</f>
        <v>-0.61667987307071381</v>
      </c>
      <c r="K97" s="16"/>
      <c r="L97" s="35">
        <f>+D97-H97</f>
        <v>13435.211412307694</v>
      </c>
      <c r="M97" s="16"/>
      <c r="N97" s="34">
        <f>IF(H97=0,0,L97/H97)</f>
        <v>-0.5249599466296897</v>
      </c>
      <c r="O97" s="26"/>
      <c r="P97" s="35">
        <f>SUM(P94:P96)</f>
        <v>-49746.350000000006</v>
      </c>
      <c r="Q97" s="13"/>
      <c r="R97" s="34">
        <f>IF(P$12=0,0,P97/P$12)</f>
        <v>-2.1839609553763193</v>
      </c>
      <c r="S97" s="13"/>
      <c r="T97" s="35">
        <f>SUM(T94:T96)</f>
        <v>-75763.760515000002</v>
      </c>
      <c r="U97" s="13"/>
      <c r="V97" s="34">
        <f>IF(T$12=0,0,T97/T$12)</f>
        <v>-1.4026429790798853</v>
      </c>
      <c r="W97" s="16"/>
      <c r="X97" s="35">
        <f>+P97-T97</f>
        <v>26017.410514999996</v>
      </c>
      <c r="Y97" s="16"/>
      <c r="Z97" s="34">
        <f>IF(T97=0,0,X97/T97)</f>
        <v>-0.34340178388913217</v>
      </c>
    </row>
    <row r="98" spans="1:26" ht="15.75" thickTop="1" x14ac:dyDescent="0.25">
      <c r="A98" s="9"/>
      <c r="C98" s="9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6" x14ac:dyDescent="0.25">
      <c r="A99" s="9"/>
      <c r="B99" s="61">
        <v>44481.978916631946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25">
      <c r="A100" s="9"/>
      <c r="B100" s="56" t="s">
        <v>56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4"/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","309", " - ", "Carts")</f>
        <v>Department 309 - Carts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108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295</v>
      </c>
      <c r="C18" s="10"/>
      <c r="D18" s="22">
        <f>SUM(OSRRefD22x_0)</f>
        <v>818.69</v>
      </c>
      <c r="E18" s="22"/>
      <c r="F18" s="32">
        <f t="shared" ref="F18:F25" si="0">IF(D$12=0,0,D18/D$12)</f>
        <v>0</v>
      </c>
      <c r="G18" s="22"/>
      <c r="H18" s="22">
        <f>SUM(OSRRefH22x_0)</f>
        <v>588</v>
      </c>
      <c r="I18" s="22"/>
      <c r="J18" s="32">
        <f t="shared" ref="J18:J25" si="1">IF(H$12=0,0,H18/H$12)</f>
        <v>0</v>
      </c>
      <c r="K18" s="4"/>
      <c r="L18" s="22">
        <f t="shared" ref="L18:L25" si="2">+D18-H18</f>
        <v>230.69000000000005</v>
      </c>
      <c r="M18" s="4"/>
      <c r="N18" s="32">
        <f t="shared" ref="N18:N25" si="3">IF(H18=0,0,L18/H18)</f>
        <v>0.3923299319727892</v>
      </c>
      <c r="O18" s="10"/>
      <c r="P18" s="22">
        <f>SUM(OSRRefP22x_0)</f>
        <v>2483.19</v>
      </c>
      <c r="Q18" s="22"/>
      <c r="R18" s="32">
        <f t="shared" ref="R18:R25" si="4">IF(P$12=0,0,P18/P$12)</f>
        <v>0</v>
      </c>
      <c r="S18" s="22"/>
      <c r="T18" s="22">
        <f>SUM(OSRRefT22x_0)</f>
        <v>1764</v>
      </c>
      <c r="U18" s="22"/>
      <c r="V18" s="32">
        <f t="shared" ref="V18:V25" si="5">IF(T$12=0,0,T18/T$12)</f>
        <v>0</v>
      </c>
      <c r="W18" s="4"/>
      <c r="X18" s="22">
        <f t="shared" ref="X18:X25" si="6">+P18-T18</f>
        <v>719.19</v>
      </c>
      <c r="Y18" s="4"/>
      <c r="Z18" s="32">
        <f t="shared" ref="Z18:Z25" si="7">IF(T18=0,0,X18/T18)</f>
        <v>0.40770408163265309</v>
      </c>
    </row>
    <row r="19" spans="1:26" s="28" customFormat="1" outlineLevel="1" collapsed="1" x14ac:dyDescent="0.25">
      <c r="A19" s="27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588.94000000000005</v>
      </c>
      <c r="E19" s="1"/>
      <c r="F19" s="5">
        <f t="shared" si="0"/>
        <v>0</v>
      </c>
      <c r="G19" s="1"/>
      <c r="H19" s="1">
        <f>SUM(OSRRefH22_0x_0)</f>
        <v>588</v>
      </c>
      <c r="I19" s="1"/>
      <c r="J19" s="5">
        <f t="shared" si="1"/>
        <v>0</v>
      </c>
      <c r="K19" s="1"/>
      <c r="L19" s="1">
        <f t="shared" si="2"/>
        <v>0.94000000000005457</v>
      </c>
      <c r="M19" s="1"/>
      <c r="N19" s="5">
        <f t="shared" si="3"/>
        <v>1.5986394557824057E-3</v>
      </c>
      <c r="O19" s="14"/>
      <c r="P19" s="1">
        <f>SUM(OSRRefP22_0x_0)</f>
        <v>1766.82</v>
      </c>
      <c r="Q19" s="1"/>
      <c r="R19" s="5">
        <f t="shared" si="4"/>
        <v>0</v>
      </c>
      <c r="S19" s="1"/>
      <c r="T19" s="1">
        <f>SUM(OSRRefT22_0x_0)</f>
        <v>1764</v>
      </c>
      <c r="U19" s="1"/>
      <c r="V19" s="5">
        <f t="shared" si="5"/>
        <v>0</v>
      </c>
      <c r="W19" s="1"/>
      <c r="X19" s="1">
        <f t="shared" si="6"/>
        <v>2.8199999999999363</v>
      </c>
      <c r="Y19" s="1"/>
      <c r="Z19" s="5">
        <f t="shared" si="7"/>
        <v>1.5986394557822767E-3</v>
      </c>
    </row>
    <row r="20" spans="1:26" s="24" customFormat="1" hidden="1" outlineLevel="2" x14ac:dyDescent="0.25">
      <c r="A20" s="29"/>
      <c r="B20" s="11" t="str">
        <f>CONCATENATE("          ", "6322", " - ", "EQUIPMENT DEPRECIATION EXPENSE")</f>
        <v xml:space="preserve">          6322 - EQUIPMENT DEPRECIATION EXPENSE</v>
      </c>
      <c r="C20" s="11"/>
      <c r="D20" s="7">
        <v>588.94000000000005</v>
      </c>
      <c r="E20" s="2"/>
      <c r="F20" s="6">
        <f t="shared" si="0"/>
        <v>0</v>
      </c>
      <c r="G20" s="2"/>
      <c r="H20" s="7">
        <v>588</v>
      </c>
      <c r="I20" s="2"/>
      <c r="J20" s="6">
        <f t="shared" si="1"/>
        <v>0</v>
      </c>
      <c r="K20" s="2"/>
      <c r="L20" s="7">
        <f t="shared" si="2"/>
        <v>0.94000000000005457</v>
      </c>
      <c r="M20" s="2"/>
      <c r="N20" s="6">
        <f t="shared" si="3"/>
        <v>1.5986394557824057E-3</v>
      </c>
      <c r="O20" s="11"/>
      <c r="P20" s="7">
        <v>1766.82</v>
      </c>
      <c r="Q20" s="2"/>
      <c r="R20" s="6">
        <f t="shared" si="4"/>
        <v>0</v>
      </c>
      <c r="S20" s="2"/>
      <c r="T20" s="7">
        <v>1764</v>
      </c>
      <c r="U20" s="2"/>
      <c r="V20" s="6">
        <f t="shared" si="5"/>
        <v>0</v>
      </c>
      <c r="W20" s="2"/>
      <c r="X20" s="7">
        <f t="shared" si="6"/>
        <v>2.8199999999999363</v>
      </c>
      <c r="Y20" s="2"/>
      <c r="Z20" s="6">
        <f t="shared" si="7"/>
        <v>1.5986394557822767E-3</v>
      </c>
    </row>
    <row r="21" spans="1:26" s="28" customFormat="1" outlineLevel="1" collapsed="1" x14ac:dyDescent="0.25">
      <c r="A21" s="27"/>
      <c r="B21" s="14" t="str">
        <f>CONCATENATE("     ","Repair and Maintenance                            ")</f>
        <v xml:space="preserve">     Repair and Maintenance                            </v>
      </c>
      <c r="C21" s="14"/>
      <c r="D21" s="1">
        <f>SUM(OSRRefD22_1x_0)</f>
        <v>47.9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47.9</v>
      </c>
      <c r="M21" s="1"/>
      <c r="N21" s="5">
        <f t="shared" si="3"/>
        <v>0</v>
      </c>
      <c r="O21" s="14"/>
      <c r="P21" s="1">
        <f>SUM(OSRRefP22_1x_0)</f>
        <v>47.9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47.9</v>
      </c>
      <c r="Y21" s="1"/>
      <c r="Z21" s="5">
        <f t="shared" si="7"/>
        <v>0</v>
      </c>
    </row>
    <row r="22" spans="1:26" s="24" customFormat="1" hidden="1" outlineLevel="2" x14ac:dyDescent="0.25">
      <c r="A22" s="29"/>
      <c r="B22" s="11" t="str">
        <f>CONCATENATE("          ", "6373", " - ", "MAINTENANCE CONTRACTS")</f>
        <v xml:space="preserve">          6373 - MAINTENANCE CONTRACTS</v>
      </c>
      <c r="C22" s="11"/>
      <c r="D22" s="7">
        <v>47.9</v>
      </c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47.9</v>
      </c>
      <c r="M22" s="2"/>
      <c r="N22" s="6">
        <f t="shared" si="3"/>
        <v>0</v>
      </c>
      <c r="O22" s="11"/>
      <c r="P22" s="7">
        <v>47.9</v>
      </c>
      <c r="Q22" s="2"/>
      <c r="R22" s="6">
        <f t="shared" si="4"/>
        <v>0</v>
      </c>
      <c r="S22" s="2"/>
      <c r="T22" s="7"/>
      <c r="U22" s="2"/>
      <c r="V22" s="6">
        <f t="shared" si="5"/>
        <v>0</v>
      </c>
      <c r="W22" s="2"/>
      <c r="X22" s="7">
        <f t="shared" si="6"/>
        <v>47.9</v>
      </c>
      <c r="Y22" s="2"/>
      <c r="Z22" s="6">
        <f t="shared" si="7"/>
        <v>0</v>
      </c>
    </row>
    <row r="23" spans="1:26" s="28" customFormat="1" outlineLevel="1" collapsed="1" x14ac:dyDescent="0.25">
      <c r="A23" s="27"/>
      <c r="B23" s="14" t="str">
        <f>CONCATENATE("     ","Services                                          ")</f>
        <v xml:space="preserve">     Services                                          </v>
      </c>
      <c r="C23" s="14"/>
      <c r="D23" s="1">
        <f>SUM(OSRRefD22_2x_0)</f>
        <v>151.85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151.85</v>
      </c>
      <c r="M23" s="1"/>
      <c r="N23" s="5">
        <f t="shared" si="3"/>
        <v>0</v>
      </c>
      <c r="O23" s="14"/>
      <c r="P23" s="1">
        <f>SUM(OSRRefP22_2x_0)</f>
        <v>578.47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578.47</v>
      </c>
      <c r="Y23" s="1"/>
      <c r="Z23" s="5">
        <f t="shared" si="7"/>
        <v>0</v>
      </c>
    </row>
    <row r="24" spans="1:26" s="24" customFormat="1" hidden="1" outlineLevel="2" x14ac:dyDescent="0.25">
      <c r="A24" s="29"/>
      <c r="B24" s="11" t="str">
        <f>CONCATENATE("          ", "6282", " - ", "JANITORIAL/EXTERMINATOR EXPENS")</f>
        <v xml:space="preserve">          6282 - JANITORIAL/EXTERMINATOR EXPENS</v>
      </c>
      <c r="C24" s="11"/>
      <c r="D24" s="7">
        <v>151.85</v>
      </c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151.85</v>
      </c>
      <c r="M24" s="2"/>
      <c r="N24" s="6">
        <f t="shared" si="3"/>
        <v>0</v>
      </c>
      <c r="O24" s="11"/>
      <c r="P24" s="7">
        <v>455.55</v>
      </c>
      <c r="Q24" s="2"/>
      <c r="R24" s="6">
        <f t="shared" si="4"/>
        <v>0</v>
      </c>
      <c r="S24" s="2"/>
      <c r="T24" s="7"/>
      <c r="U24" s="2"/>
      <c r="V24" s="6">
        <f t="shared" si="5"/>
        <v>0</v>
      </c>
      <c r="W24" s="2"/>
      <c r="X24" s="7">
        <f t="shared" si="6"/>
        <v>455.55</v>
      </c>
      <c r="Y24" s="2"/>
      <c r="Z24" s="6">
        <f t="shared" si="7"/>
        <v>0</v>
      </c>
    </row>
    <row r="25" spans="1:26" s="24" customFormat="1" hidden="1" outlineLevel="2" x14ac:dyDescent="0.25">
      <c r="A25" s="29"/>
      <c r="B25" s="11" t="str">
        <f>CONCATENATE("          ", "6285", " - ", "JANITORIAL SERVICES")</f>
        <v xml:space="preserve">          6285 - JANITORIAL SERVICES</v>
      </c>
      <c r="C25" s="11"/>
      <c r="D25" s="7"/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122.92</v>
      </c>
      <c r="Q25" s="2"/>
      <c r="R25" s="6">
        <f t="shared" si="4"/>
        <v>0</v>
      </c>
      <c r="S25" s="2"/>
      <c r="T25" s="7"/>
      <c r="U25" s="2"/>
      <c r="V25" s="6">
        <f t="shared" si="5"/>
        <v>0</v>
      </c>
      <c r="W25" s="2"/>
      <c r="X25" s="7">
        <f t="shared" si="6"/>
        <v>122.92</v>
      </c>
      <c r="Y25" s="2"/>
      <c r="Z25" s="6">
        <f t="shared" si="7"/>
        <v>0</v>
      </c>
    </row>
    <row r="26" spans="1:26" s="28" customFormat="1" outlineLevel="1" collapsed="1" x14ac:dyDescent="0.25">
      <c r="A26" s="27"/>
      <c r="B26" s="14" t="str">
        <f>CONCATENATE("     ","Telephone/Data Lines                              ")</f>
        <v xml:space="preserve">     Telephone/Data Lines                              </v>
      </c>
      <c r="C26" s="14"/>
      <c r="D26" s="1">
        <f>SUM(OSRRefD22_3x_0)</f>
        <v>30</v>
      </c>
      <c r="E26" s="1"/>
      <c r="F26" s="5">
        <f t="shared" ref="F26:F27" si="8">IF(D$12=0,0,D26/D$12)</f>
        <v>0</v>
      </c>
      <c r="G26" s="1"/>
      <c r="H26" s="1">
        <f>SUM(OSRRefH22_3x_0)</f>
        <v>0</v>
      </c>
      <c r="I26" s="1"/>
      <c r="J26" s="5">
        <f t="shared" ref="J26:J27" si="9">IF(H$12=0,0,H26/H$12)</f>
        <v>0</v>
      </c>
      <c r="K26" s="1"/>
      <c r="L26" s="1">
        <f t="shared" ref="L26:L27" si="10">+D26-H26</f>
        <v>30</v>
      </c>
      <c r="M26" s="1"/>
      <c r="N26" s="5">
        <f t="shared" ref="N26:N27" si="11">IF(H26=0,0,L26/H26)</f>
        <v>0</v>
      </c>
      <c r="O26" s="14"/>
      <c r="P26" s="1">
        <f>SUM(OSRRefP22_3x_0)</f>
        <v>90</v>
      </c>
      <c r="Q26" s="1"/>
      <c r="R26" s="5">
        <f t="shared" ref="R26:R27" si="12">IF(P$12=0,0,P26/P$12)</f>
        <v>0</v>
      </c>
      <c r="S26" s="1"/>
      <c r="T26" s="1">
        <f>SUM(OSRRefT22_3x_0)</f>
        <v>0</v>
      </c>
      <c r="U26" s="1"/>
      <c r="V26" s="5">
        <f t="shared" ref="V26:V27" si="13">IF(T$12=0,0,T26/T$12)</f>
        <v>0</v>
      </c>
      <c r="W26" s="1"/>
      <c r="X26" s="1">
        <f t="shared" ref="X26:X27" si="14">+P26-T26</f>
        <v>90</v>
      </c>
      <c r="Y26" s="1"/>
      <c r="Z26" s="5">
        <f t="shared" ref="Z26:Z27" si="15">IF(T26=0,0,X26/T26)</f>
        <v>0</v>
      </c>
    </row>
    <row r="27" spans="1:26" s="24" customFormat="1" hidden="1" outlineLevel="2" x14ac:dyDescent="0.25">
      <c r="A27" s="29"/>
      <c r="B27" s="11" t="str">
        <f>CONCATENATE("          ", "6309", " - ", "TELEPHONE")</f>
        <v xml:space="preserve">          6309 - TELEPHONE</v>
      </c>
      <c r="C27" s="11"/>
      <c r="D27" s="7">
        <v>30</v>
      </c>
      <c r="E27" s="2"/>
      <c r="F27" s="6">
        <f t="shared" si="8"/>
        <v>0</v>
      </c>
      <c r="G27" s="2"/>
      <c r="H27" s="7"/>
      <c r="I27" s="2"/>
      <c r="J27" s="6">
        <f t="shared" si="9"/>
        <v>0</v>
      </c>
      <c r="K27" s="2"/>
      <c r="L27" s="7">
        <f t="shared" si="10"/>
        <v>30</v>
      </c>
      <c r="M27" s="2"/>
      <c r="N27" s="6">
        <f t="shared" si="11"/>
        <v>0</v>
      </c>
      <c r="O27" s="11"/>
      <c r="P27" s="7">
        <v>90</v>
      </c>
      <c r="Q27" s="2"/>
      <c r="R27" s="6">
        <f t="shared" si="12"/>
        <v>0</v>
      </c>
      <c r="S27" s="2"/>
      <c r="T27" s="7"/>
      <c r="U27" s="2"/>
      <c r="V27" s="6">
        <f t="shared" si="13"/>
        <v>0</v>
      </c>
      <c r="W27" s="2"/>
      <c r="X27" s="7">
        <f t="shared" si="14"/>
        <v>90</v>
      </c>
      <c r="Y27" s="2"/>
      <c r="Z27" s="6">
        <f t="shared" si="15"/>
        <v>0</v>
      </c>
    </row>
    <row r="28" spans="1:26" s="58" customFormat="1" x14ac:dyDescent="0.25">
      <c r="A28" s="36"/>
      <c r="B28" s="36"/>
      <c r="C28" s="36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6" t="s">
        <v>293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5" t="s">
        <v>277</v>
      </c>
      <c r="C31" s="25"/>
      <c r="D31" s="21">
        <f>+D16-D18+D29</f>
        <v>-818.69</v>
      </c>
      <c r="E31" s="13"/>
      <c r="F31" s="20">
        <f>IF(D$12=0,0,D31/D$12)</f>
        <v>0</v>
      </c>
      <c r="G31" s="13"/>
      <c r="H31" s="21">
        <f>+H16-H18+H29</f>
        <v>-588</v>
      </c>
      <c r="I31" s="13"/>
      <c r="J31" s="20">
        <f>IF(H$12=0,0,H31/H$12)</f>
        <v>0</v>
      </c>
      <c r="K31" s="16"/>
      <c r="L31" s="21">
        <f>+D31-H31</f>
        <v>-230.69000000000005</v>
      </c>
      <c r="M31" s="16"/>
      <c r="N31" s="20">
        <f>IF(H31=0,0,L31/H31)</f>
        <v>0.3923299319727892</v>
      </c>
      <c r="O31" s="26"/>
      <c r="P31" s="21">
        <f>+P16-P18+P29</f>
        <v>-2483.19</v>
      </c>
      <c r="Q31" s="13"/>
      <c r="R31" s="20">
        <f>IF(P$12=0,0,P31/P$12)</f>
        <v>0</v>
      </c>
      <c r="S31" s="13"/>
      <c r="T31" s="21">
        <f>+T16-T18+T29</f>
        <v>-1764</v>
      </c>
      <c r="U31" s="13"/>
      <c r="V31" s="20">
        <f>IF(T$12=0,0,T31/T$12)</f>
        <v>0</v>
      </c>
      <c r="W31" s="16"/>
      <c r="X31" s="21">
        <f>+P31-T31</f>
        <v>-719.19</v>
      </c>
      <c r="Y31" s="16"/>
      <c r="Z31" s="20">
        <f>IF(T31=0,0,X31/T31)</f>
        <v>0.40770408163265309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128</v>
      </c>
      <c r="C33" s="10"/>
      <c r="D33" s="4"/>
      <c r="E33" s="4"/>
      <c r="F33" s="12">
        <f>IF(D$12=0,0,D33/D$12)</f>
        <v>0</v>
      </c>
      <c r="G33" s="4"/>
      <c r="H33" s="4"/>
      <c r="I33" s="4"/>
      <c r="J33" s="12">
        <f>IF(H$12=0,0,H33/H$12)</f>
        <v>0</v>
      </c>
      <c r="K33" s="4"/>
      <c r="L33" s="4">
        <f>+D33-H33</f>
        <v>0</v>
      </c>
      <c r="M33" s="4"/>
      <c r="N33" s="12">
        <f>IF(H33=0,0,L33/H33)</f>
        <v>0</v>
      </c>
      <c r="O33" s="10"/>
      <c r="P33" s="4"/>
      <c r="Q33" s="4"/>
      <c r="R33" s="12">
        <f>IF(P$12=0,0,P33/P$12)</f>
        <v>0</v>
      </c>
      <c r="S33" s="4"/>
      <c r="T33" s="4"/>
      <c r="U33" s="4"/>
      <c r="V33" s="12">
        <f>IF(T$12=0,0,T33/T$12)</f>
        <v>0</v>
      </c>
      <c r="W33" s="4"/>
      <c r="X33" s="4">
        <f>+P33-T33</f>
        <v>0</v>
      </c>
      <c r="Y33" s="4"/>
      <c r="Z33" s="12">
        <f>IF(T33=0,0,X33/T33)</f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5" t="s">
        <v>126</v>
      </c>
      <c r="C35" s="25"/>
      <c r="D35" s="33">
        <f>+D31-D33</f>
        <v>-818.69</v>
      </c>
      <c r="E35" s="13"/>
      <c r="F35" s="31">
        <f>IF(D$12=0,0,D35/D$12)</f>
        <v>0</v>
      </c>
      <c r="G35" s="13"/>
      <c r="H35" s="33">
        <f>+H31-H33</f>
        <v>-588</v>
      </c>
      <c r="I35" s="13"/>
      <c r="J35" s="31">
        <f>IF(H$12=0,0,H35/H$12)</f>
        <v>0</v>
      </c>
      <c r="K35" s="16"/>
      <c r="L35" s="33">
        <f>D35-H35</f>
        <v>-230.69000000000005</v>
      </c>
      <c r="M35" s="16"/>
      <c r="N35" s="31">
        <f>IF(H35=0,0,L35/H35)</f>
        <v>0.3923299319727892</v>
      </c>
      <c r="O35" s="26"/>
      <c r="P35" s="33">
        <f>+P31-P33</f>
        <v>-2483.19</v>
      </c>
      <c r="Q35" s="13"/>
      <c r="R35" s="31">
        <f>IF(P$12=0,0,P35/P$12)</f>
        <v>0</v>
      </c>
      <c r="S35" s="13"/>
      <c r="T35" s="33">
        <f>+T31-T33</f>
        <v>-1764</v>
      </c>
      <c r="U35" s="13"/>
      <c r="V35" s="31">
        <f>IF(T$12=0,0,T35/T$12)</f>
        <v>0</v>
      </c>
      <c r="W35" s="16"/>
      <c r="X35" s="33">
        <f>P35-T35</f>
        <v>-719.19</v>
      </c>
      <c r="Y35" s="16"/>
      <c r="Z35" s="31">
        <f>IF(T35=0,0,X35/T35)</f>
        <v>0.40770408163265309</v>
      </c>
    </row>
    <row r="36" spans="1:26" ht="15.75" thickTop="1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.75" thickBot="1" x14ac:dyDescent="0.3">
      <c r="A38" s="10"/>
      <c r="B38" s="25" t="s">
        <v>294</v>
      </c>
      <c r="C38" s="25"/>
      <c r="D38" s="35">
        <f>SUM(D35:D37)</f>
        <v>-818.69</v>
      </c>
      <c r="E38" s="13"/>
      <c r="F38" s="34">
        <f>IF(D$12=0,0,D38/D$12)</f>
        <v>0</v>
      </c>
      <c r="G38" s="13"/>
      <c r="H38" s="35">
        <f>SUM(H35:H37)</f>
        <v>-588</v>
      </c>
      <c r="I38" s="13"/>
      <c r="J38" s="34">
        <f>IF(H$12=0,0,H38/H$12)</f>
        <v>0</v>
      </c>
      <c r="K38" s="16"/>
      <c r="L38" s="35">
        <f>+D38-H38</f>
        <v>-230.69000000000005</v>
      </c>
      <c r="M38" s="16"/>
      <c r="N38" s="34">
        <f>IF(H38=0,0,L38/H38)</f>
        <v>0.3923299319727892</v>
      </c>
      <c r="O38" s="26"/>
      <c r="P38" s="35">
        <f>SUM(P35:P37)</f>
        <v>-2483.19</v>
      </c>
      <c r="Q38" s="13"/>
      <c r="R38" s="34">
        <f>IF(P$12=0,0,P38/P$12)</f>
        <v>0</v>
      </c>
      <c r="S38" s="13"/>
      <c r="T38" s="35">
        <f>SUM(T35:T37)</f>
        <v>-1764</v>
      </c>
      <c r="U38" s="13"/>
      <c r="V38" s="34">
        <f>IF(T$12=0,0,T38/T$12)</f>
        <v>0</v>
      </c>
      <c r="W38" s="16"/>
      <c r="X38" s="35">
        <f>+P38-T38</f>
        <v>-719.19</v>
      </c>
      <c r="Y38" s="16"/>
      <c r="Z38" s="34">
        <f>IF(T38=0,0,X38/T38)</f>
        <v>0.40770408163265309</v>
      </c>
    </row>
    <row r="39" spans="1:26" ht="15.75" thickTop="1" x14ac:dyDescent="0.25">
      <c r="A39" s="9"/>
      <c r="C39" s="9"/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1">
        <v>44481.978956793981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56" t="s">
        <v>56</v>
      </c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A42" s="9"/>
      <c r="B42" s="54"/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25"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","321", " - ", "Corner Market")</f>
        <v>Department 321 - Corner Market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13597</v>
      </c>
      <c r="I12" s="4"/>
      <c r="J12" s="12"/>
      <c r="K12" s="4"/>
      <c r="L12" s="4">
        <f t="shared" ref="L12:L14" si="0">+D12-H12</f>
        <v>-13597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18092</v>
      </c>
      <c r="U12" s="4"/>
      <c r="V12" s="12"/>
      <c r="W12" s="4"/>
      <c r="X12" s="4">
        <f t="shared" ref="X12:X14" si="2">+P12-T12</f>
        <v>-18092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3157</v>
      </c>
      <c r="I13" s="2"/>
      <c r="J13" s="19"/>
      <c r="K13" s="2"/>
      <c r="L13" s="2">
        <f t="shared" si="0"/>
        <v>-3157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v>4201</v>
      </c>
      <c r="U13" s="2"/>
      <c r="V13" s="19"/>
      <c r="W13" s="2"/>
      <c r="X13" s="2">
        <f t="shared" si="2"/>
        <v>-4201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10440</v>
      </c>
      <c r="I14" s="2"/>
      <c r="J14" s="19"/>
      <c r="K14" s="2"/>
      <c r="L14" s="2">
        <f t="shared" si="0"/>
        <v>-10440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v>13891</v>
      </c>
      <c r="U14" s="2"/>
      <c r="V14" s="19"/>
      <c r="W14" s="2"/>
      <c r="X14" s="2">
        <f t="shared" si="2"/>
        <v>-13891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257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6662</v>
      </c>
      <c r="I16" s="4"/>
      <c r="J16" s="12">
        <f t="shared" ref="J16:J17" si="7">IF(H$12=0,0,H16/H$12)</f>
        <v>0.48996102081341475</v>
      </c>
      <c r="K16" s="4"/>
      <c r="L16" s="4">
        <f t="shared" ref="L16:L17" si="8">+D16-H16</f>
        <v>-6662</v>
      </c>
      <c r="M16" s="4"/>
      <c r="N16" s="12">
        <f t="shared" ref="N16:N17" si="9">IF(H16=0,0,L16/H16)</f>
        <v>-1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8865</v>
      </c>
      <c r="U16" s="4"/>
      <c r="V16" s="12">
        <f t="shared" ref="V16:V17" si="11">IF(T$12=0,0,T16/T$12)</f>
        <v>0.48999557815609107</v>
      </c>
      <c r="W16" s="4"/>
      <c r="X16" s="4">
        <f t="shared" ref="X16:X17" si="12">+P16-T16</f>
        <v>-8865</v>
      </c>
      <c r="Y16" s="4"/>
      <c r="Z16" s="12">
        <f t="shared" ref="Z16:Z17" si="13">IF(T16=0,0,X16/T16)</f>
        <v>-1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6662</v>
      </c>
      <c r="I17" s="2"/>
      <c r="J17" s="19">
        <f t="shared" si="7"/>
        <v>0.48996102081341475</v>
      </c>
      <c r="K17" s="2"/>
      <c r="L17" s="2">
        <f t="shared" si="8"/>
        <v>-6662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8865</v>
      </c>
      <c r="U17" s="2"/>
      <c r="V17" s="19">
        <f t="shared" si="11"/>
        <v>0.48999557815609107</v>
      </c>
      <c r="W17" s="2"/>
      <c r="X17" s="2">
        <f t="shared" si="12"/>
        <v>-8865</v>
      </c>
      <c r="Y17" s="2"/>
      <c r="Z17" s="19">
        <f t="shared" si="13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5" t="s">
        <v>108</v>
      </c>
      <c r="C19" s="25"/>
      <c r="D19" s="21">
        <f>D12-D16</f>
        <v>0</v>
      </c>
      <c r="E19" s="13"/>
      <c r="F19" s="20">
        <f>IF(D$12=0,0,D19/D$12)</f>
        <v>0</v>
      </c>
      <c r="G19" s="13"/>
      <c r="H19" s="21">
        <f>H12-H16</f>
        <v>6935</v>
      </c>
      <c r="I19" s="13"/>
      <c r="J19" s="20">
        <f>IF(H$12=0,0,H19/H$12)</f>
        <v>0.51003897918658525</v>
      </c>
      <c r="K19" s="16"/>
      <c r="L19" s="21">
        <f>+D19-H19</f>
        <v>-6935</v>
      </c>
      <c r="M19" s="16"/>
      <c r="N19" s="20">
        <f>IF(H19=0,0,L19/H19)</f>
        <v>-1</v>
      </c>
      <c r="O19" s="26"/>
      <c r="P19" s="21">
        <f>P12-P16</f>
        <v>0</v>
      </c>
      <c r="Q19" s="13"/>
      <c r="R19" s="20">
        <f>IF(P$12=0,0,P19/P$12)</f>
        <v>0</v>
      </c>
      <c r="S19" s="13"/>
      <c r="T19" s="21">
        <f>T12-T16</f>
        <v>9227</v>
      </c>
      <c r="U19" s="13"/>
      <c r="V19" s="20">
        <f>IF(T$12=0,0,T19/T$12)</f>
        <v>0.51000442184390893</v>
      </c>
      <c r="W19" s="16"/>
      <c r="X19" s="21">
        <f>+P19-T19</f>
        <v>-9227</v>
      </c>
      <c r="Y19" s="16"/>
      <c r="Z19" s="20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6" t="s">
        <v>295</v>
      </c>
      <c r="C21" s="10"/>
      <c r="D21" s="22">
        <f>SUM(OSRRefD22x_0)</f>
        <v>1274.7300000000002</v>
      </c>
      <c r="E21" s="22"/>
      <c r="F21" s="32">
        <f t="shared" ref="F21:F31" si="14">IF(D$12=0,0,D21/D$12)</f>
        <v>0</v>
      </c>
      <c r="G21" s="22"/>
      <c r="H21" s="22">
        <f>SUM(OSRRefH22x_0)</f>
        <v>9452.8340000000007</v>
      </c>
      <c r="I21" s="22"/>
      <c r="J21" s="32">
        <f t="shared" ref="J21:J31" si="15">IF(H$12=0,0,H21/H$12)</f>
        <v>0.69521467970875939</v>
      </c>
      <c r="K21" s="4"/>
      <c r="L21" s="22">
        <f t="shared" ref="L21:L31" si="16">+D21-H21</f>
        <v>-8178.1040000000003</v>
      </c>
      <c r="M21" s="4"/>
      <c r="N21" s="32">
        <f t="shared" ref="N21:N31" si="17">IF(H21=0,0,L21/H21)</f>
        <v>-0.86514837772460618</v>
      </c>
      <c r="O21" s="10"/>
      <c r="P21" s="22">
        <f>SUM(OSRRefP22x_0)</f>
        <v>4772.8499999999995</v>
      </c>
      <c r="Q21" s="22"/>
      <c r="R21" s="32">
        <f t="shared" ref="R21:R31" si="18">IF(P$12=0,0,P21/P$12)</f>
        <v>0</v>
      </c>
      <c r="S21" s="22"/>
      <c r="T21" s="22">
        <f>SUM(OSRRefT22x_0)</f>
        <v>19196.217225</v>
      </c>
      <c r="U21" s="22"/>
      <c r="V21" s="32">
        <f t="shared" ref="V21:V31" si="19">IF(T$12=0,0,T21/T$12)</f>
        <v>1.0610334526309972</v>
      </c>
      <c r="W21" s="4"/>
      <c r="X21" s="22">
        <f t="shared" ref="X21:X31" si="20">+P21-T21</f>
        <v>-14423.367225000002</v>
      </c>
      <c r="Y21" s="4"/>
      <c r="Z21" s="32">
        <f t="shared" ref="Z21:Z31" si="21">IF(T21=0,0,X21/T21)</f>
        <v>-0.75136507656393237</v>
      </c>
    </row>
    <row r="22" spans="1:26" s="28" customFormat="1" outlineLevel="1" collapsed="1" x14ac:dyDescent="0.2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477.39400000000006</v>
      </c>
      <c r="I22" s="1"/>
      <c r="J22" s="5">
        <f t="shared" si="15"/>
        <v>3.5110244906964773E-2</v>
      </c>
      <c r="K22" s="1"/>
      <c r="L22" s="1">
        <f t="shared" si="16"/>
        <v>-477.39400000000006</v>
      </c>
      <c r="M22" s="1"/>
      <c r="N22" s="5">
        <f t="shared" si="17"/>
        <v>-1</v>
      </c>
      <c r="O22" s="14"/>
      <c r="P22" s="1">
        <f>SUM(OSRRefP22_0x_0)</f>
        <v>84.99</v>
      </c>
      <c r="Q22" s="1"/>
      <c r="R22" s="5">
        <f t="shared" si="18"/>
        <v>0</v>
      </c>
      <c r="S22" s="1"/>
      <c r="T22" s="1">
        <f>SUM(OSRRefT22_0x_0)</f>
        <v>1056.402225</v>
      </c>
      <c r="U22" s="1"/>
      <c r="V22" s="5">
        <f t="shared" si="19"/>
        <v>5.8390571799690476E-2</v>
      </c>
      <c r="W22" s="1"/>
      <c r="X22" s="1">
        <f t="shared" si="20"/>
        <v>-971.41222500000003</v>
      </c>
      <c r="Y22" s="1"/>
      <c r="Z22" s="5">
        <f t="shared" si="21"/>
        <v>-0.91954768932827646</v>
      </c>
    </row>
    <row r="23" spans="1:26" s="24" customFormat="1" hidden="1" outlineLevel="2" x14ac:dyDescent="0.25">
      <c r="A23" s="29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4"/>
        <v>0</v>
      </c>
      <c r="G23" s="2"/>
      <c r="H23" s="7">
        <v>137.75399999999999</v>
      </c>
      <c r="I23" s="2"/>
      <c r="J23" s="6">
        <f t="shared" si="15"/>
        <v>1.0131205412958741E-2</v>
      </c>
      <c r="K23" s="2"/>
      <c r="L23" s="7">
        <f t="shared" si="16"/>
        <v>-137.75399999999999</v>
      </c>
      <c r="M23" s="2"/>
      <c r="N23" s="6">
        <f t="shared" si="17"/>
        <v>-1</v>
      </c>
      <c r="O23" s="11"/>
      <c r="P23" s="7">
        <v>6.91</v>
      </c>
      <c r="Q23" s="2"/>
      <c r="R23" s="6">
        <f t="shared" si="18"/>
        <v>0</v>
      </c>
      <c r="S23" s="2"/>
      <c r="T23" s="7">
        <v>385.137225</v>
      </c>
      <c r="U23" s="2"/>
      <c r="V23" s="6">
        <f t="shared" si="19"/>
        <v>2.1287708655759453E-2</v>
      </c>
      <c r="W23" s="2"/>
      <c r="X23" s="7">
        <f t="shared" si="20"/>
        <v>-378.22722499999998</v>
      </c>
      <c r="Y23" s="2"/>
      <c r="Z23" s="6">
        <f t="shared" si="21"/>
        <v>-0.98205834297113181</v>
      </c>
    </row>
    <row r="24" spans="1:26" s="24" customFormat="1" hidden="1" outlineLevel="2" x14ac:dyDescent="0.25">
      <c r="A24" s="29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4"/>
        <v>0</v>
      </c>
      <c r="G24" s="2"/>
      <c r="H24" s="7">
        <v>183.89080000000001</v>
      </c>
      <c r="I24" s="2"/>
      <c r="J24" s="6">
        <f t="shared" si="15"/>
        <v>1.3524365668897552E-2</v>
      </c>
      <c r="K24" s="2"/>
      <c r="L24" s="7">
        <f t="shared" si="16"/>
        <v>-183.89080000000001</v>
      </c>
      <c r="M24" s="2"/>
      <c r="N24" s="6">
        <f t="shared" si="17"/>
        <v>-1</v>
      </c>
      <c r="O24" s="11"/>
      <c r="P24" s="7"/>
      <c r="Q24" s="2"/>
      <c r="R24" s="6">
        <f t="shared" si="18"/>
        <v>0</v>
      </c>
      <c r="S24" s="2"/>
      <c r="T24" s="7">
        <v>363.44204999999999</v>
      </c>
      <c r="U24" s="2"/>
      <c r="V24" s="6">
        <f t="shared" si="19"/>
        <v>2.0088550187928367E-2</v>
      </c>
      <c r="W24" s="2"/>
      <c r="X24" s="7">
        <f t="shared" si="20"/>
        <v>-363.44204999999999</v>
      </c>
      <c r="Y24" s="2"/>
      <c r="Z24" s="6">
        <f t="shared" si="21"/>
        <v>-1</v>
      </c>
    </row>
    <row r="25" spans="1:26" s="24" customFormat="1" hidden="1" outlineLevel="2" x14ac:dyDescent="0.25">
      <c r="A25" s="29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4"/>
        <v>0</v>
      </c>
      <c r="G25" s="2"/>
      <c r="H25" s="7">
        <v>0</v>
      </c>
      <c r="I25" s="2"/>
      <c r="J25" s="6">
        <f t="shared" si="15"/>
        <v>0</v>
      </c>
      <c r="K25" s="2"/>
      <c r="L25" s="7">
        <f t="shared" si="16"/>
        <v>0</v>
      </c>
      <c r="M25" s="2"/>
      <c r="N25" s="6">
        <f t="shared" si="17"/>
        <v>0</v>
      </c>
      <c r="O25" s="11"/>
      <c r="P25" s="7"/>
      <c r="Q25" s="2"/>
      <c r="R25" s="6">
        <f t="shared" si="18"/>
        <v>0</v>
      </c>
      <c r="S25" s="2"/>
      <c r="T25" s="7">
        <v>0</v>
      </c>
      <c r="U25" s="2"/>
      <c r="V25" s="6">
        <f t="shared" si="19"/>
        <v>0</v>
      </c>
      <c r="W25" s="2"/>
      <c r="X25" s="7">
        <f t="shared" si="20"/>
        <v>0</v>
      </c>
      <c r="Y25" s="2"/>
      <c r="Z25" s="6">
        <f t="shared" si="21"/>
        <v>0</v>
      </c>
    </row>
    <row r="26" spans="1:26" s="24" customFormat="1" hidden="1" outlineLevel="2" x14ac:dyDescent="0.2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4"/>
        <v>0</v>
      </c>
      <c r="G26" s="2"/>
      <c r="H26" s="7">
        <v>10.1892</v>
      </c>
      <c r="I26" s="2"/>
      <c r="J26" s="6">
        <f t="shared" si="15"/>
        <v>7.4937118482018084E-4</v>
      </c>
      <c r="K26" s="2"/>
      <c r="L26" s="7">
        <f t="shared" si="16"/>
        <v>-10.1892</v>
      </c>
      <c r="M26" s="2"/>
      <c r="N26" s="6">
        <f t="shared" si="17"/>
        <v>-1</v>
      </c>
      <c r="O26" s="11"/>
      <c r="P26" s="7"/>
      <c r="Q26" s="2"/>
      <c r="R26" s="6">
        <f t="shared" si="18"/>
        <v>0</v>
      </c>
      <c r="S26" s="2"/>
      <c r="T26" s="7">
        <v>20.13795</v>
      </c>
      <c r="U26" s="2"/>
      <c r="V26" s="6">
        <f t="shared" si="19"/>
        <v>1.1130858943179307E-3</v>
      </c>
      <c r="W26" s="2"/>
      <c r="X26" s="7">
        <f t="shared" si="20"/>
        <v>-20.13795</v>
      </c>
      <c r="Y26" s="2"/>
      <c r="Z26" s="6">
        <f t="shared" si="21"/>
        <v>-1</v>
      </c>
    </row>
    <row r="27" spans="1:26" s="24" customFormat="1" hidden="1" outlineLevel="2" x14ac:dyDescent="0.25">
      <c r="A27" s="29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4"/>
        <v>0</v>
      </c>
      <c r="G27" s="2"/>
      <c r="H27" s="7">
        <v>0</v>
      </c>
      <c r="I27" s="2"/>
      <c r="J27" s="6">
        <f t="shared" si="15"/>
        <v>0</v>
      </c>
      <c r="K27" s="2"/>
      <c r="L27" s="7">
        <f t="shared" si="16"/>
        <v>0</v>
      </c>
      <c r="M27" s="2"/>
      <c r="N27" s="6">
        <f t="shared" si="17"/>
        <v>0</v>
      </c>
      <c r="O27" s="11"/>
      <c r="P27" s="7"/>
      <c r="Q27" s="2"/>
      <c r="R27" s="6">
        <f t="shared" si="18"/>
        <v>0</v>
      </c>
      <c r="S27" s="2"/>
      <c r="T27" s="7">
        <v>0</v>
      </c>
      <c r="U27" s="2"/>
      <c r="V27" s="6">
        <f t="shared" si="19"/>
        <v>0</v>
      </c>
      <c r="W27" s="2"/>
      <c r="X27" s="7">
        <f t="shared" si="20"/>
        <v>0</v>
      </c>
      <c r="Y27" s="2"/>
      <c r="Z27" s="6">
        <f t="shared" si="21"/>
        <v>0</v>
      </c>
    </row>
    <row r="28" spans="1:26" s="24" customFormat="1" hidden="1" outlineLevel="2" x14ac:dyDescent="0.25">
      <c r="A28" s="29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0</v>
      </c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/>
      <c r="Q29" s="2"/>
      <c r="R29" s="6">
        <f t="shared" si="18"/>
        <v>0</v>
      </c>
      <c r="S29" s="2"/>
      <c r="T29" s="7">
        <v>0</v>
      </c>
      <c r="U29" s="2"/>
      <c r="V29" s="6">
        <f t="shared" si="19"/>
        <v>0</v>
      </c>
      <c r="W29" s="2"/>
      <c r="X29" s="7">
        <f t="shared" si="20"/>
        <v>0</v>
      </c>
      <c r="Y29" s="2"/>
      <c r="Z29" s="6">
        <f t="shared" si="21"/>
        <v>0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145.56</v>
      </c>
      <c r="I30" s="2"/>
      <c r="J30" s="6">
        <f t="shared" si="15"/>
        <v>1.07053026402883E-2</v>
      </c>
      <c r="K30" s="2"/>
      <c r="L30" s="7">
        <f t="shared" si="16"/>
        <v>-145.56</v>
      </c>
      <c r="M30" s="2"/>
      <c r="N30" s="6">
        <f t="shared" si="17"/>
        <v>-1</v>
      </c>
      <c r="O30" s="11"/>
      <c r="P30" s="7"/>
      <c r="Q30" s="2"/>
      <c r="R30" s="6">
        <f t="shared" si="18"/>
        <v>0</v>
      </c>
      <c r="S30" s="2"/>
      <c r="T30" s="7">
        <v>287.685</v>
      </c>
      <c r="U30" s="2"/>
      <c r="V30" s="6">
        <f t="shared" si="19"/>
        <v>1.5901227061684724E-2</v>
      </c>
      <c r="W30" s="2"/>
      <c r="X30" s="7">
        <f t="shared" si="20"/>
        <v>-287.685</v>
      </c>
      <c r="Y30" s="2"/>
      <c r="Z30" s="6">
        <f t="shared" si="21"/>
        <v>-1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/>
      <c r="I31" s="2"/>
      <c r="J31" s="6">
        <f t="shared" si="15"/>
        <v>0</v>
      </c>
      <c r="K31" s="2"/>
      <c r="L31" s="7">
        <f t="shared" si="16"/>
        <v>0</v>
      </c>
      <c r="M31" s="2"/>
      <c r="N31" s="6">
        <f t="shared" si="17"/>
        <v>0</v>
      </c>
      <c r="O31" s="11"/>
      <c r="P31" s="7">
        <v>78.08</v>
      </c>
      <c r="Q31" s="2"/>
      <c r="R31" s="6">
        <f t="shared" si="18"/>
        <v>0</v>
      </c>
      <c r="S31" s="2"/>
      <c r="T31" s="7"/>
      <c r="U31" s="2"/>
      <c r="V31" s="6">
        <f t="shared" si="19"/>
        <v>0</v>
      </c>
      <c r="W31" s="2"/>
      <c r="X31" s="7">
        <f t="shared" si="20"/>
        <v>78.08</v>
      </c>
      <c r="Y31" s="2"/>
      <c r="Z31" s="6">
        <f t="shared" si="21"/>
        <v>0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42" si="22">IF(D$12=0,0,D32/D$12)</f>
        <v>0</v>
      </c>
      <c r="G32" s="1"/>
      <c r="H32" s="1">
        <f>SUM(OSRRefH22_1x_0)</f>
        <v>4706.4400000000005</v>
      </c>
      <c r="I32" s="1"/>
      <c r="J32" s="5">
        <f t="shared" ref="J32:J42" si="23">IF(H$12=0,0,H32/H$12)</f>
        <v>0.34613811870265504</v>
      </c>
      <c r="K32" s="1"/>
      <c r="L32" s="1">
        <f t="shared" ref="L32:L42" si="24">+D32-H32</f>
        <v>-4706.4400000000005</v>
      </c>
      <c r="M32" s="1"/>
      <c r="N32" s="5">
        <f t="shared" ref="N32:N42" si="25">IF(H32=0,0,L32/H32)</f>
        <v>-1</v>
      </c>
      <c r="O32" s="14"/>
      <c r="P32" s="1">
        <f>SUM(OSRRefP22_1x_0)</f>
        <v>90.3</v>
      </c>
      <c r="Q32" s="1"/>
      <c r="R32" s="5">
        <f t="shared" ref="R32:R42" si="26">IF(P$12=0,0,P32/P$12)</f>
        <v>0</v>
      </c>
      <c r="S32" s="1"/>
      <c r="T32" s="1">
        <f>SUM(OSRRefT22_1x_0)</f>
        <v>9301.8149999999987</v>
      </c>
      <c r="U32" s="1"/>
      <c r="V32" s="5">
        <f t="shared" ref="V32:V42" si="27">IF(T$12=0,0,T32/T$12)</f>
        <v>0.51413967499447266</v>
      </c>
      <c r="W32" s="1"/>
      <c r="X32" s="1">
        <f t="shared" ref="X32:X42" si="28">+P32-T32</f>
        <v>-9211.5149999999994</v>
      </c>
      <c r="Y32" s="1"/>
      <c r="Z32" s="5">
        <f t="shared" ref="Z32:Z42" si="29">IF(T32=0,0,X32/T32)</f>
        <v>-0.99029221716406968</v>
      </c>
    </row>
    <row r="33" spans="1:26" s="24" customFormat="1" hidden="1" outlineLevel="2" x14ac:dyDescent="0.25">
      <c r="A33" s="29"/>
      <c r="B33" s="11" t="str">
        <f>CONCATENATE("          ", "6001", " - ", "ADMINISTRATIVE SALARIES")</f>
        <v xml:space="preserve">          6001 - ADMINISTRATIVE SALARIES</v>
      </c>
      <c r="C33" s="11"/>
      <c r="D33" s="7"/>
      <c r="E33" s="2"/>
      <c r="F33" s="6">
        <f t="shared" si="22"/>
        <v>0</v>
      </c>
      <c r="G33" s="2"/>
      <c r="H33" s="7">
        <v>0</v>
      </c>
      <c r="I33" s="2"/>
      <c r="J33" s="6">
        <f t="shared" si="23"/>
        <v>0</v>
      </c>
      <c r="K33" s="2"/>
      <c r="L33" s="7">
        <f t="shared" si="24"/>
        <v>0</v>
      </c>
      <c r="M33" s="2"/>
      <c r="N33" s="6">
        <f t="shared" si="25"/>
        <v>0</v>
      </c>
      <c r="O33" s="11"/>
      <c r="P33" s="7"/>
      <c r="Q33" s="2"/>
      <c r="R33" s="6">
        <f t="shared" si="26"/>
        <v>0</v>
      </c>
      <c r="S33" s="2"/>
      <c r="T33" s="7">
        <v>0</v>
      </c>
      <c r="U33" s="2"/>
      <c r="V33" s="6">
        <f t="shared" si="27"/>
        <v>0</v>
      </c>
      <c r="W33" s="2"/>
      <c r="X33" s="7">
        <f t="shared" si="28"/>
        <v>0</v>
      </c>
      <c r="Y33" s="2"/>
      <c r="Z33" s="6">
        <f t="shared" si="29"/>
        <v>0</v>
      </c>
    </row>
    <row r="34" spans="1:26" s="24" customFormat="1" hidden="1" outlineLevel="2" x14ac:dyDescent="0.25">
      <c r="A34" s="29"/>
      <c r="B34" s="11" t="str">
        <f>CONCATENATE("          ", "6002", " - ", "STAFF SALARIES")</f>
        <v xml:space="preserve">          6002 - STAFF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25">
      <c r="A35" s="29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22"/>
        <v>0</v>
      </c>
      <c r="G35" s="2"/>
      <c r="H35" s="7">
        <v>0</v>
      </c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0</v>
      </c>
      <c r="U35" s="2"/>
      <c r="V35" s="6">
        <f t="shared" si="27"/>
        <v>0</v>
      </c>
      <c r="W35" s="2"/>
      <c r="X35" s="7">
        <f t="shared" si="28"/>
        <v>0</v>
      </c>
      <c r="Y35" s="2"/>
      <c r="Z35" s="6">
        <f t="shared" si="29"/>
        <v>0</v>
      </c>
    </row>
    <row r="36" spans="1:26" s="24" customFormat="1" hidden="1" outlineLevel="2" x14ac:dyDescent="0.25">
      <c r="A36" s="29"/>
      <c r="B36" s="11" t="str">
        <f>CONCATENATE("          ", "6004", " - ", "STAFF HOURLY")</f>
        <v xml:space="preserve">          6004 - STAFF HOURLY</v>
      </c>
      <c r="C36" s="11"/>
      <c r="D36" s="7"/>
      <c r="E36" s="2"/>
      <c r="F36" s="6">
        <f t="shared" si="22"/>
        <v>0</v>
      </c>
      <c r="G36" s="2"/>
      <c r="H36" s="7">
        <v>1746</v>
      </c>
      <c r="I36" s="2"/>
      <c r="J36" s="6">
        <f t="shared" si="23"/>
        <v>0.12841067882621165</v>
      </c>
      <c r="K36" s="2"/>
      <c r="L36" s="7">
        <f t="shared" si="24"/>
        <v>-1746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4881.5249999999996</v>
      </c>
      <c r="U36" s="2"/>
      <c r="V36" s="6">
        <f t="shared" si="27"/>
        <v>0.2698167698430245</v>
      </c>
      <c r="W36" s="2"/>
      <c r="X36" s="7">
        <f t="shared" si="28"/>
        <v>-4881.5249999999996</v>
      </c>
      <c r="Y36" s="2"/>
      <c r="Z36" s="6">
        <f t="shared" si="29"/>
        <v>-1</v>
      </c>
    </row>
    <row r="37" spans="1:26" s="24" customFormat="1" hidden="1" outlineLevel="2" x14ac:dyDescent="0.25">
      <c r="A37" s="29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>
        <v>90.3</v>
      </c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90.3</v>
      </c>
      <c r="Y37" s="2"/>
      <c r="Z37" s="6">
        <f t="shared" si="29"/>
        <v>0</v>
      </c>
    </row>
    <row r="38" spans="1:26" s="24" customFormat="1" hidden="1" outlineLevel="2" x14ac:dyDescent="0.25">
      <c r="A38" s="29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2"/>
        <v>0</v>
      </c>
      <c r="G38" s="2"/>
      <c r="H38" s="7">
        <v>0</v>
      </c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/>
      <c r="Q38" s="2"/>
      <c r="R38" s="6">
        <f t="shared" si="26"/>
        <v>0</v>
      </c>
      <c r="S38" s="2"/>
      <c r="T38" s="7">
        <v>0</v>
      </c>
      <c r="U38" s="2"/>
      <c r="V38" s="6">
        <f t="shared" si="27"/>
        <v>0</v>
      </c>
      <c r="W38" s="2"/>
      <c r="X38" s="7">
        <f t="shared" si="28"/>
        <v>0</v>
      </c>
      <c r="Y38" s="2"/>
      <c r="Z38" s="6">
        <f t="shared" si="29"/>
        <v>0</v>
      </c>
    </row>
    <row r="39" spans="1:26" s="24" customFormat="1" hidden="1" outlineLevel="2" x14ac:dyDescent="0.25">
      <c r="A39" s="29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9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2"/>
        <v>0</v>
      </c>
      <c r="G40" s="2"/>
      <c r="H40" s="7">
        <v>2960.44</v>
      </c>
      <c r="I40" s="2"/>
      <c r="J40" s="6">
        <f t="shared" si="23"/>
        <v>0.21772743987644333</v>
      </c>
      <c r="K40" s="2"/>
      <c r="L40" s="7">
        <f t="shared" si="24"/>
        <v>-2960.44</v>
      </c>
      <c r="M40" s="2"/>
      <c r="N40" s="6">
        <f t="shared" si="25"/>
        <v>-1</v>
      </c>
      <c r="O40" s="11"/>
      <c r="P40" s="7"/>
      <c r="Q40" s="2"/>
      <c r="R40" s="6">
        <f t="shared" si="26"/>
        <v>0</v>
      </c>
      <c r="S40" s="2"/>
      <c r="T40" s="7">
        <v>4420.29</v>
      </c>
      <c r="U40" s="2"/>
      <c r="V40" s="6">
        <f t="shared" si="27"/>
        <v>0.24432290515144814</v>
      </c>
      <c r="W40" s="2"/>
      <c r="X40" s="7">
        <f t="shared" si="28"/>
        <v>-4420.29</v>
      </c>
      <c r="Y40" s="2"/>
      <c r="Z40" s="6">
        <f t="shared" si="29"/>
        <v>-1</v>
      </c>
    </row>
    <row r="41" spans="1:26" s="24" customFormat="1" hidden="1" outlineLevel="2" x14ac:dyDescent="0.25">
      <c r="A41" s="29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0</v>
      </c>
      <c r="M41" s="2"/>
      <c r="N41" s="6">
        <f t="shared" si="25"/>
        <v>0</v>
      </c>
      <c r="O41" s="11"/>
      <c r="P41" s="7"/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0</v>
      </c>
      <c r="Y41" s="2"/>
      <c r="Z41" s="6">
        <f t="shared" si="29"/>
        <v>0</v>
      </c>
    </row>
    <row r="42" spans="1:26" s="24" customFormat="1" hidden="1" outlineLevel="2" x14ac:dyDescent="0.25">
      <c r="A42" s="29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8" customFormat="1" outlineLevel="1" collapsed="1" x14ac:dyDescent="0.25">
      <c r="A43" s="27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0</v>
      </c>
      <c r="E43" s="1"/>
      <c r="F43" s="5">
        <f t="shared" ref="F43:F53" si="30">IF(D$12=0,0,D43/D$12)</f>
        <v>0</v>
      </c>
      <c r="G43" s="1"/>
      <c r="H43" s="1">
        <f>SUM(OSRRefH22_2x_0)</f>
        <v>0</v>
      </c>
      <c r="I43" s="1"/>
      <c r="J43" s="5">
        <f t="shared" ref="J43:J53" si="31">IF(H$12=0,0,H43/H$12)</f>
        <v>0</v>
      </c>
      <c r="K43" s="1"/>
      <c r="L43" s="1">
        <f t="shared" ref="L43:L53" si="32">+D43-H43</f>
        <v>0</v>
      </c>
      <c r="M43" s="1"/>
      <c r="N43" s="5">
        <f t="shared" ref="N43:N53" si="33">IF(H43=0,0,L43/H43)</f>
        <v>0</v>
      </c>
      <c r="O43" s="14"/>
      <c r="P43" s="1">
        <f>SUM(OSRRefP22_2x_0)</f>
        <v>0</v>
      </c>
      <c r="Q43" s="1"/>
      <c r="R43" s="5">
        <f t="shared" ref="R43:R53" si="34">IF(P$12=0,0,P43/P$12)</f>
        <v>0</v>
      </c>
      <c r="S43" s="1"/>
      <c r="T43" s="1">
        <f>SUM(OSRRefT22_2x_0)</f>
        <v>0</v>
      </c>
      <c r="U43" s="1"/>
      <c r="V43" s="5">
        <f t="shared" ref="V43:V53" si="35">IF(T$12=0,0,T43/T$12)</f>
        <v>0</v>
      </c>
      <c r="W43" s="1"/>
      <c r="X43" s="1">
        <f t="shared" ref="X43:X53" si="36">+P43-T43</f>
        <v>0</v>
      </c>
      <c r="Y43" s="1"/>
      <c r="Z43" s="5">
        <f t="shared" ref="Z43:Z53" si="37">IF(T43=0,0,X43/T43)</f>
        <v>0</v>
      </c>
    </row>
    <row r="44" spans="1:26" s="24" customFormat="1" hidden="1" outlineLevel="2" x14ac:dyDescent="0.25">
      <c r="A44" s="29"/>
      <c r="B44" s="11" t="str">
        <f>CONCATENATE("          ", "6362", " - ", "ADVERTISING EXPENSE")</f>
        <v xml:space="preserve">          6362 - ADVERTISING EXPENSE</v>
      </c>
      <c r="C44" s="11"/>
      <c r="D44" s="7"/>
      <c r="E44" s="2"/>
      <c r="F44" s="6">
        <f t="shared" si="30"/>
        <v>0</v>
      </c>
      <c r="G44" s="2"/>
      <c r="H44" s="7"/>
      <c r="I44" s="2"/>
      <c r="J44" s="6">
        <f t="shared" si="31"/>
        <v>0</v>
      </c>
      <c r="K44" s="2"/>
      <c r="L44" s="7">
        <f t="shared" si="32"/>
        <v>0</v>
      </c>
      <c r="M44" s="2"/>
      <c r="N44" s="6">
        <f t="shared" si="33"/>
        <v>0</v>
      </c>
      <c r="O44" s="11"/>
      <c r="P44" s="7"/>
      <c r="Q44" s="2"/>
      <c r="R44" s="6">
        <f t="shared" si="34"/>
        <v>0</v>
      </c>
      <c r="S44" s="2"/>
      <c r="T44" s="7">
        <v>0</v>
      </c>
      <c r="U44" s="2"/>
      <c r="V44" s="6">
        <f t="shared" si="35"/>
        <v>0</v>
      </c>
      <c r="W44" s="2"/>
      <c r="X44" s="7">
        <f t="shared" si="36"/>
        <v>0</v>
      </c>
      <c r="Y44" s="2"/>
      <c r="Z44" s="6">
        <f t="shared" si="37"/>
        <v>0</v>
      </c>
    </row>
    <row r="45" spans="1:26" s="28" customFormat="1" outlineLevel="1" collapsed="1" x14ac:dyDescent="0.25">
      <c r="A45" s="27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SUM(OSRRefD22_3x_0)</f>
        <v>99.95</v>
      </c>
      <c r="E45" s="1"/>
      <c r="F45" s="5">
        <f t="shared" si="30"/>
        <v>0</v>
      </c>
      <c r="G45" s="1"/>
      <c r="H45" s="1">
        <f>SUM(OSRRefH22_3x_0)</f>
        <v>464</v>
      </c>
      <c r="I45" s="1"/>
      <c r="J45" s="5">
        <f t="shared" si="31"/>
        <v>3.4125174670883281E-2</v>
      </c>
      <c r="K45" s="1"/>
      <c r="L45" s="1">
        <f t="shared" si="32"/>
        <v>-364.05</v>
      </c>
      <c r="M45" s="1"/>
      <c r="N45" s="5">
        <f t="shared" si="33"/>
        <v>-0.78459051724137929</v>
      </c>
      <c r="O45" s="14"/>
      <c r="P45" s="1">
        <f>SUM(OSRRefP22_3x_0)</f>
        <v>275.41000000000003</v>
      </c>
      <c r="Q45" s="1"/>
      <c r="R45" s="5">
        <f t="shared" si="34"/>
        <v>0</v>
      </c>
      <c r="S45" s="1"/>
      <c r="T45" s="1">
        <f>SUM(OSRRefT22_3x_0)</f>
        <v>617</v>
      </c>
      <c r="U45" s="1"/>
      <c r="V45" s="5">
        <f t="shared" si="35"/>
        <v>3.4103471147468492E-2</v>
      </c>
      <c r="W45" s="1"/>
      <c r="X45" s="1">
        <f t="shared" si="36"/>
        <v>-341.59</v>
      </c>
      <c r="Y45" s="1"/>
      <c r="Z45" s="5">
        <f t="shared" si="37"/>
        <v>-0.55363047001620747</v>
      </c>
    </row>
    <row r="46" spans="1:26" s="24" customFormat="1" hidden="1" outlineLevel="2" x14ac:dyDescent="0.25">
      <c r="A46" s="29"/>
      <c r="B46" s="11" t="str">
        <f>CONCATENATE("          ", "6381", " - ", "BANK/CREDIT CARD FEES")</f>
        <v xml:space="preserve">          6381 - BANK/CREDIT CARD FEES</v>
      </c>
      <c r="C46" s="11"/>
      <c r="D46" s="7">
        <v>99.95</v>
      </c>
      <c r="E46" s="2"/>
      <c r="F46" s="6">
        <f t="shared" si="30"/>
        <v>0</v>
      </c>
      <c r="G46" s="2"/>
      <c r="H46" s="7">
        <v>464</v>
      </c>
      <c r="I46" s="2"/>
      <c r="J46" s="6">
        <f t="shared" si="31"/>
        <v>3.4125174670883281E-2</v>
      </c>
      <c r="K46" s="2"/>
      <c r="L46" s="7">
        <f t="shared" si="32"/>
        <v>-364.05</v>
      </c>
      <c r="M46" s="2"/>
      <c r="N46" s="6">
        <f t="shared" si="33"/>
        <v>-0.78459051724137929</v>
      </c>
      <c r="O46" s="11"/>
      <c r="P46" s="7">
        <v>275.41000000000003</v>
      </c>
      <c r="Q46" s="2"/>
      <c r="R46" s="6">
        <f t="shared" si="34"/>
        <v>0</v>
      </c>
      <c r="S46" s="2"/>
      <c r="T46" s="7">
        <v>617</v>
      </c>
      <c r="U46" s="2"/>
      <c r="V46" s="6">
        <f t="shared" si="35"/>
        <v>3.4103471147468492E-2</v>
      </c>
      <c r="W46" s="2"/>
      <c r="X46" s="7">
        <f t="shared" si="36"/>
        <v>-341.59</v>
      </c>
      <c r="Y46" s="2"/>
      <c r="Z46" s="6">
        <f t="shared" si="37"/>
        <v>-0.55363047001620747</v>
      </c>
    </row>
    <row r="47" spans="1:26" s="28" customFormat="1" outlineLevel="1" collapsed="1" x14ac:dyDescent="0.25">
      <c r="A47" s="27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SUM(OSRRefD22_4x_0)</f>
        <v>1075.3800000000001</v>
      </c>
      <c r="E47" s="1"/>
      <c r="F47" s="5">
        <f t="shared" si="30"/>
        <v>0</v>
      </c>
      <c r="G47" s="1"/>
      <c r="H47" s="1">
        <f>SUM(OSRRefH22_4x_0)</f>
        <v>1075</v>
      </c>
      <c r="I47" s="1"/>
      <c r="J47" s="5">
        <f t="shared" si="31"/>
        <v>7.9061557696550711E-2</v>
      </c>
      <c r="K47" s="1"/>
      <c r="L47" s="1">
        <f t="shared" si="32"/>
        <v>0.38000000000010914</v>
      </c>
      <c r="M47" s="1"/>
      <c r="N47" s="5">
        <f t="shared" si="33"/>
        <v>3.5348837209312476E-4</v>
      </c>
      <c r="O47" s="14"/>
      <c r="P47" s="1">
        <f>SUM(OSRRefP22_4x_0)</f>
        <v>3226.16</v>
      </c>
      <c r="Q47" s="1"/>
      <c r="R47" s="5">
        <f t="shared" si="34"/>
        <v>0</v>
      </c>
      <c r="S47" s="1"/>
      <c r="T47" s="1">
        <f>SUM(OSRRefT22_4x_0)</f>
        <v>3225</v>
      </c>
      <c r="U47" s="1"/>
      <c r="V47" s="5">
        <f t="shared" si="35"/>
        <v>0.178255582577935</v>
      </c>
      <c r="W47" s="1"/>
      <c r="X47" s="1">
        <f t="shared" si="36"/>
        <v>1.1599999999998545</v>
      </c>
      <c r="Y47" s="1"/>
      <c r="Z47" s="5">
        <f t="shared" si="37"/>
        <v>3.5968992248057506E-4</v>
      </c>
    </row>
    <row r="48" spans="1:26" s="24" customFormat="1" hidden="1" outlineLevel="2" x14ac:dyDescent="0.25">
      <c r="A48" s="29"/>
      <c r="B48" s="11" t="str">
        <f>CONCATENATE("          ", "6322", " - ", "EQUIPMENT DEPRECIATION EXPENSE")</f>
        <v xml:space="preserve">          6322 - EQUIPMENT DEPRECIATION EXPENSE</v>
      </c>
      <c r="C48" s="11"/>
      <c r="D48" s="7">
        <v>1075.3800000000001</v>
      </c>
      <c r="E48" s="2"/>
      <c r="F48" s="6">
        <f t="shared" si="30"/>
        <v>0</v>
      </c>
      <c r="G48" s="2"/>
      <c r="H48" s="7">
        <v>1075</v>
      </c>
      <c r="I48" s="2"/>
      <c r="J48" s="6">
        <f t="shared" si="31"/>
        <v>7.9061557696550711E-2</v>
      </c>
      <c r="K48" s="2"/>
      <c r="L48" s="7">
        <f t="shared" si="32"/>
        <v>0.38000000000010914</v>
      </c>
      <c r="M48" s="2"/>
      <c r="N48" s="6">
        <f t="shared" si="33"/>
        <v>3.5348837209312476E-4</v>
      </c>
      <c r="O48" s="11"/>
      <c r="P48" s="7">
        <v>3226.16</v>
      </c>
      <c r="Q48" s="2"/>
      <c r="R48" s="6">
        <f t="shared" si="34"/>
        <v>0</v>
      </c>
      <c r="S48" s="2"/>
      <c r="T48" s="7">
        <v>3225</v>
      </c>
      <c r="U48" s="2"/>
      <c r="V48" s="6">
        <f t="shared" si="35"/>
        <v>0.178255582577935</v>
      </c>
      <c r="W48" s="2"/>
      <c r="X48" s="7">
        <f t="shared" si="36"/>
        <v>1.1599999999998545</v>
      </c>
      <c r="Y48" s="2"/>
      <c r="Z48" s="6">
        <f t="shared" si="37"/>
        <v>3.5968992248057506E-4</v>
      </c>
    </row>
    <row r="49" spans="1:26" s="28" customFormat="1" outlineLevel="1" collapsed="1" x14ac:dyDescent="0.25">
      <c r="A49" s="27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SUM(OSRRefD22_5x_0)</f>
        <v>0</v>
      </c>
      <c r="E49" s="1"/>
      <c r="F49" s="5">
        <f t="shared" si="30"/>
        <v>0</v>
      </c>
      <c r="G49" s="1"/>
      <c r="H49" s="1">
        <f>SUM(OSRRefH22_5x_0)</f>
        <v>300</v>
      </c>
      <c r="I49" s="1"/>
      <c r="J49" s="5">
        <f t="shared" si="31"/>
        <v>2.2063690519967639E-2</v>
      </c>
      <c r="K49" s="1"/>
      <c r="L49" s="1">
        <f t="shared" si="32"/>
        <v>-300</v>
      </c>
      <c r="M49" s="1"/>
      <c r="N49" s="5">
        <f t="shared" si="33"/>
        <v>-1</v>
      </c>
      <c r="O49" s="14"/>
      <c r="P49" s="1">
        <f>SUM(OSRRefP22_5x_0)</f>
        <v>769.55</v>
      </c>
      <c r="Q49" s="1"/>
      <c r="R49" s="5">
        <f t="shared" si="34"/>
        <v>0</v>
      </c>
      <c r="S49" s="1"/>
      <c r="T49" s="1">
        <f>SUM(OSRRefT22_5x_0)</f>
        <v>300</v>
      </c>
      <c r="U49" s="1"/>
      <c r="V49" s="5">
        <f t="shared" si="35"/>
        <v>1.6581914658412557E-2</v>
      </c>
      <c r="W49" s="1"/>
      <c r="X49" s="1">
        <f t="shared" si="36"/>
        <v>469.54999999999995</v>
      </c>
      <c r="Y49" s="1"/>
      <c r="Z49" s="5">
        <f t="shared" si="37"/>
        <v>1.5651666666666666</v>
      </c>
    </row>
    <row r="50" spans="1:26" s="24" customFormat="1" hidden="1" outlineLevel="2" x14ac:dyDescent="0.25">
      <c r="A50" s="29"/>
      <c r="B50" s="11" t="str">
        <f>CONCATENATE("          ", "6279", " - ", "GENERAL EXPENSE")</f>
        <v xml:space="preserve">          6279 - GENERAL EXPENSE</v>
      </c>
      <c r="C50" s="11"/>
      <c r="D50" s="7"/>
      <c r="E50" s="2"/>
      <c r="F50" s="6">
        <f t="shared" si="30"/>
        <v>0</v>
      </c>
      <c r="G50" s="2"/>
      <c r="H50" s="7">
        <v>300</v>
      </c>
      <c r="I50" s="2"/>
      <c r="J50" s="6">
        <f t="shared" si="31"/>
        <v>2.2063690519967639E-2</v>
      </c>
      <c r="K50" s="2"/>
      <c r="L50" s="7">
        <f t="shared" si="32"/>
        <v>-300</v>
      </c>
      <c r="M50" s="2"/>
      <c r="N50" s="6">
        <f t="shared" si="33"/>
        <v>-1</v>
      </c>
      <c r="O50" s="11"/>
      <c r="P50" s="7">
        <v>769.55</v>
      </c>
      <c r="Q50" s="2"/>
      <c r="R50" s="6">
        <f t="shared" si="34"/>
        <v>0</v>
      </c>
      <c r="S50" s="2"/>
      <c r="T50" s="7">
        <v>300</v>
      </c>
      <c r="U50" s="2"/>
      <c r="V50" s="6">
        <f t="shared" si="35"/>
        <v>1.6581914658412557E-2</v>
      </c>
      <c r="W50" s="2"/>
      <c r="X50" s="7">
        <f t="shared" si="36"/>
        <v>469.54999999999995</v>
      </c>
      <c r="Y50" s="2"/>
      <c r="Z50" s="6">
        <f t="shared" si="37"/>
        <v>1.5651666666666666</v>
      </c>
    </row>
    <row r="51" spans="1:26" s="28" customFormat="1" outlineLevel="1" collapsed="1" x14ac:dyDescent="0.25">
      <c r="A51" s="27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SUM(OSRRefD22_6x_0)</f>
        <v>47.9</v>
      </c>
      <c r="E51" s="1"/>
      <c r="F51" s="5">
        <f t="shared" si="30"/>
        <v>0</v>
      </c>
      <c r="G51" s="1"/>
      <c r="H51" s="1">
        <f>SUM(OSRRefH22_6x_0)</f>
        <v>253</v>
      </c>
      <c r="I51" s="1"/>
      <c r="J51" s="5">
        <f t="shared" si="31"/>
        <v>1.8607045671839375E-2</v>
      </c>
      <c r="K51" s="1"/>
      <c r="L51" s="1">
        <f t="shared" si="32"/>
        <v>-205.1</v>
      </c>
      <c r="M51" s="1"/>
      <c r="N51" s="5">
        <f t="shared" si="33"/>
        <v>-0.81067193675889326</v>
      </c>
      <c r="O51" s="14"/>
      <c r="P51" s="1">
        <f>SUM(OSRRefP22_6x_0)</f>
        <v>47.9</v>
      </c>
      <c r="Q51" s="1"/>
      <c r="R51" s="5">
        <f t="shared" si="34"/>
        <v>0</v>
      </c>
      <c r="S51" s="1"/>
      <c r="T51" s="1">
        <f>SUM(OSRRefT22_6x_0)</f>
        <v>633</v>
      </c>
      <c r="U51" s="1"/>
      <c r="V51" s="5">
        <f t="shared" si="35"/>
        <v>3.4987839929250496E-2</v>
      </c>
      <c r="W51" s="1"/>
      <c r="X51" s="1">
        <f t="shared" si="36"/>
        <v>-585.1</v>
      </c>
      <c r="Y51" s="1"/>
      <c r="Z51" s="5">
        <f t="shared" si="37"/>
        <v>-0.92432859399684053</v>
      </c>
    </row>
    <row r="52" spans="1:26" s="24" customFormat="1" hidden="1" outlineLevel="2" x14ac:dyDescent="0.25">
      <c r="A52" s="29"/>
      <c r="B52" s="11" t="str">
        <f>CONCATENATE("          ", "6373", " - ", "MAINTENANCE CONTRACTS")</f>
        <v xml:space="preserve">          6373 - MAINTENANCE CONTRACTS</v>
      </c>
      <c r="C52" s="11"/>
      <c r="D52" s="7">
        <v>47.9</v>
      </c>
      <c r="E52" s="2"/>
      <c r="F52" s="6">
        <f t="shared" si="30"/>
        <v>0</v>
      </c>
      <c r="G52" s="2"/>
      <c r="H52" s="7">
        <v>138</v>
      </c>
      <c r="I52" s="2"/>
      <c r="J52" s="6">
        <f t="shared" si="31"/>
        <v>1.0149297639185114E-2</v>
      </c>
      <c r="K52" s="2"/>
      <c r="L52" s="7">
        <f t="shared" si="32"/>
        <v>-90.1</v>
      </c>
      <c r="M52" s="2"/>
      <c r="N52" s="6">
        <f t="shared" si="33"/>
        <v>-0.65289855072463765</v>
      </c>
      <c r="O52" s="11"/>
      <c r="P52" s="7">
        <v>47.9</v>
      </c>
      <c r="Q52" s="2"/>
      <c r="R52" s="6">
        <f t="shared" si="34"/>
        <v>0</v>
      </c>
      <c r="S52" s="2"/>
      <c r="T52" s="7">
        <v>288</v>
      </c>
      <c r="U52" s="2"/>
      <c r="V52" s="6">
        <f t="shared" si="35"/>
        <v>1.5918638072076056E-2</v>
      </c>
      <c r="W52" s="2"/>
      <c r="X52" s="7">
        <f t="shared" si="36"/>
        <v>-240.1</v>
      </c>
      <c r="Y52" s="2"/>
      <c r="Z52" s="6">
        <f t="shared" si="37"/>
        <v>-0.83368055555555554</v>
      </c>
    </row>
    <row r="53" spans="1:26" s="24" customFormat="1" hidden="1" outlineLevel="2" x14ac:dyDescent="0.25">
      <c r="A53" s="29"/>
      <c r="B53" s="11" t="str">
        <f>CONCATENATE("          ", "6375", " - ", "OUTSIDE REPAIRS &amp; MAINTENANCE")</f>
        <v xml:space="preserve">          6375 - OUTSIDE REPAIRS &amp; MAINTENANCE</v>
      </c>
      <c r="C53" s="11"/>
      <c r="D53" s="7"/>
      <c r="E53" s="2"/>
      <c r="F53" s="6">
        <f t="shared" si="30"/>
        <v>0</v>
      </c>
      <c r="G53" s="2"/>
      <c r="H53" s="7">
        <v>115</v>
      </c>
      <c r="I53" s="2"/>
      <c r="J53" s="6">
        <f t="shared" si="31"/>
        <v>8.4577480326542623E-3</v>
      </c>
      <c r="K53" s="2"/>
      <c r="L53" s="7">
        <f t="shared" si="32"/>
        <v>-115</v>
      </c>
      <c r="M53" s="2"/>
      <c r="N53" s="6">
        <f t="shared" si="33"/>
        <v>-1</v>
      </c>
      <c r="O53" s="11"/>
      <c r="P53" s="7"/>
      <c r="Q53" s="2"/>
      <c r="R53" s="6">
        <f t="shared" si="34"/>
        <v>0</v>
      </c>
      <c r="S53" s="2"/>
      <c r="T53" s="7">
        <v>345</v>
      </c>
      <c r="U53" s="2"/>
      <c r="V53" s="6">
        <f t="shared" si="35"/>
        <v>1.9069201857174443E-2</v>
      </c>
      <c r="W53" s="2"/>
      <c r="X53" s="7">
        <f t="shared" si="36"/>
        <v>-345</v>
      </c>
      <c r="Y53" s="2"/>
      <c r="Z53" s="6">
        <f t="shared" si="37"/>
        <v>-1</v>
      </c>
    </row>
    <row r="54" spans="1:26" s="28" customFormat="1" outlineLevel="1" collapsed="1" x14ac:dyDescent="0.25">
      <c r="A54" s="27"/>
      <c r="B54" s="14" t="str">
        <f>CONCATENATE("     ","Royalty &amp; Commissions                             ")</f>
        <v xml:space="preserve">     Royalty &amp; Commissions                             </v>
      </c>
      <c r="C54" s="14"/>
      <c r="D54" s="1">
        <f>SUM(OSRRefD22_7x_0)</f>
        <v>0</v>
      </c>
      <c r="E54" s="1"/>
      <c r="F54" s="5">
        <f t="shared" ref="F54:F58" si="38">IF(D$12=0,0,D54/D$12)</f>
        <v>0</v>
      </c>
      <c r="G54" s="1"/>
      <c r="H54" s="1">
        <f>SUM(OSRRefH22_7x_0)</f>
        <v>1224</v>
      </c>
      <c r="I54" s="1"/>
      <c r="J54" s="5">
        <f t="shared" ref="J54:J58" si="39">IF(H$12=0,0,H54/H$12)</f>
        <v>9.0019857321467972E-2</v>
      </c>
      <c r="K54" s="1"/>
      <c r="L54" s="1">
        <f t="shared" ref="L54:L58" si="40">+D54-H54</f>
        <v>-1224</v>
      </c>
      <c r="M54" s="1"/>
      <c r="N54" s="5">
        <f t="shared" ref="N54:N58" si="41">IF(H54=0,0,L54/H54)</f>
        <v>-1</v>
      </c>
      <c r="O54" s="14"/>
      <c r="P54" s="1">
        <f>SUM(OSRRefP22_7x_0)</f>
        <v>0</v>
      </c>
      <c r="Q54" s="1"/>
      <c r="R54" s="5">
        <f t="shared" ref="R54:R58" si="42">IF(P$12=0,0,P54/P$12)</f>
        <v>0</v>
      </c>
      <c r="S54" s="1"/>
      <c r="T54" s="1">
        <f>SUM(OSRRefT22_7x_0)</f>
        <v>1629</v>
      </c>
      <c r="U54" s="1"/>
      <c r="V54" s="5">
        <f t="shared" ref="V54:V58" si="43">IF(T$12=0,0,T54/T$12)</f>
        <v>9.0039796595180188E-2</v>
      </c>
      <c r="W54" s="1"/>
      <c r="X54" s="1">
        <f t="shared" ref="X54:X58" si="44">+P54-T54</f>
        <v>-1629</v>
      </c>
      <c r="Y54" s="1"/>
      <c r="Z54" s="5">
        <f t="shared" ref="Z54:Z58" si="45">IF(T54=0,0,X54/T54)</f>
        <v>-1</v>
      </c>
    </row>
    <row r="55" spans="1:26" s="24" customFormat="1" hidden="1" outlineLevel="2" x14ac:dyDescent="0.25">
      <c r="A55" s="29"/>
      <c r="B55" s="11" t="str">
        <f>CONCATENATE("          ", "6259", " - ", "ROYALTY &amp; COMMISSIONS")</f>
        <v xml:space="preserve">          6259 - ROYALTY &amp; COMMISSIONS</v>
      </c>
      <c r="C55" s="11"/>
      <c r="D55" s="7"/>
      <c r="E55" s="2"/>
      <c r="F55" s="6">
        <f t="shared" si="38"/>
        <v>0</v>
      </c>
      <c r="G55" s="2"/>
      <c r="H55" s="7">
        <v>1224</v>
      </c>
      <c r="I55" s="2"/>
      <c r="J55" s="6">
        <f t="shared" si="39"/>
        <v>9.0019857321467972E-2</v>
      </c>
      <c r="K55" s="2"/>
      <c r="L55" s="7">
        <f t="shared" si="40"/>
        <v>-1224</v>
      </c>
      <c r="M55" s="2"/>
      <c r="N55" s="6">
        <f t="shared" si="41"/>
        <v>-1</v>
      </c>
      <c r="O55" s="11"/>
      <c r="P55" s="7"/>
      <c r="Q55" s="2"/>
      <c r="R55" s="6">
        <f t="shared" si="42"/>
        <v>0</v>
      </c>
      <c r="S55" s="2"/>
      <c r="T55" s="7">
        <v>1629</v>
      </c>
      <c r="U55" s="2"/>
      <c r="V55" s="6">
        <f t="shared" si="43"/>
        <v>9.0039796595180188E-2</v>
      </c>
      <c r="W55" s="2"/>
      <c r="X55" s="7">
        <f t="shared" si="44"/>
        <v>-1629</v>
      </c>
      <c r="Y55" s="2"/>
      <c r="Z55" s="6">
        <f t="shared" si="45"/>
        <v>-1</v>
      </c>
    </row>
    <row r="56" spans="1:26" s="28" customFormat="1" outlineLevel="1" collapsed="1" x14ac:dyDescent="0.25">
      <c r="A56" s="27"/>
      <c r="B56" s="14" t="str">
        <f>CONCATENATE("     ","Services                                          ")</f>
        <v xml:space="preserve">     Services                                          </v>
      </c>
      <c r="C56" s="14"/>
      <c r="D56" s="1">
        <f>SUM(OSRRefD22_8x_0)</f>
        <v>0</v>
      </c>
      <c r="E56" s="1"/>
      <c r="F56" s="5">
        <f t="shared" si="38"/>
        <v>0</v>
      </c>
      <c r="G56" s="1"/>
      <c r="H56" s="1">
        <f>SUM(OSRRefH22_8x_0)</f>
        <v>100</v>
      </c>
      <c r="I56" s="1"/>
      <c r="J56" s="5">
        <f t="shared" si="39"/>
        <v>7.3545635066558802E-3</v>
      </c>
      <c r="K56" s="1"/>
      <c r="L56" s="1">
        <f t="shared" si="40"/>
        <v>-100</v>
      </c>
      <c r="M56" s="1"/>
      <c r="N56" s="5">
        <f t="shared" si="41"/>
        <v>-1</v>
      </c>
      <c r="O56" s="14"/>
      <c r="P56" s="1">
        <f>SUM(OSRRefP22_8x_0)</f>
        <v>103.2</v>
      </c>
      <c r="Q56" s="1"/>
      <c r="R56" s="5">
        <f t="shared" si="42"/>
        <v>0</v>
      </c>
      <c r="S56" s="1"/>
      <c r="T56" s="1">
        <f>SUM(OSRRefT22_8x_0)</f>
        <v>200</v>
      </c>
      <c r="U56" s="1"/>
      <c r="V56" s="5">
        <f t="shared" si="43"/>
        <v>1.1054609772275039E-2</v>
      </c>
      <c r="W56" s="1"/>
      <c r="X56" s="1">
        <f t="shared" si="44"/>
        <v>-96.8</v>
      </c>
      <c r="Y56" s="1"/>
      <c r="Z56" s="5">
        <f t="shared" si="45"/>
        <v>-0.48399999999999999</v>
      </c>
    </row>
    <row r="57" spans="1:26" s="24" customFormat="1" hidden="1" outlineLevel="2" x14ac:dyDescent="0.25">
      <c r="A57" s="29"/>
      <c r="B57" s="11" t="str">
        <f>CONCATENATE("          ", "6282", " - ", "JANITORIAL/EXTERMINATOR EXPENS")</f>
        <v xml:space="preserve">          6282 - JANITORIAL/EXTERMINATOR EXPENS</v>
      </c>
      <c r="C57" s="11"/>
      <c r="D57" s="7"/>
      <c r="E57" s="2"/>
      <c r="F57" s="6">
        <f t="shared" si="38"/>
        <v>0</v>
      </c>
      <c r="G57" s="2"/>
      <c r="H57" s="7">
        <v>100</v>
      </c>
      <c r="I57" s="2"/>
      <c r="J57" s="6">
        <f t="shared" si="39"/>
        <v>7.3545635066558802E-3</v>
      </c>
      <c r="K57" s="2"/>
      <c r="L57" s="7">
        <f t="shared" si="40"/>
        <v>-100</v>
      </c>
      <c r="M57" s="2"/>
      <c r="N57" s="6">
        <f t="shared" si="41"/>
        <v>-1</v>
      </c>
      <c r="O57" s="11"/>
      <c r="P57" s="7"/>
      <c r="Q57" s="2"/>
      <c r="R57" s="6">
        <f t="shared" si="42"/>
        <v>0</v>
      </c>
      <c r="S57" s="2"/>
      <c r="T57" s="7">
        <v>200</v>
      </c>
      <c r="U57" s="2"/>
      <c r="V57" s="6">
        <f t="shared" si="43"/>
        <v>1.1054609772275039E-2</v>
      </c>
      <c r="W57" s="2"/>
      <c r="X57" s="7">
        <f t="shared" si="44"/>
        <v>-200</v>
      </c>
      <c r="Y57" s="2"/>
      <c r="Z57" s="6">
        <f t="shared" si="45"/>
        <v>-1</v>
      </c>
    </row>
    <row r="58" spans="1:26" s="24" customFormat="1" hidden="1" outlineLevel="2" x14ac:dyDescent="0.25">
      <c r="A58" s="29"/>
      <c r="B58" s="11" t="str">
        <f>CONCATENATE("          ", "6285", " - ", "JANITORIAL SERVICES")</f>
        <v xml:space="preserve">          6285 - JANITORIAL SERVICES</v>
      </c>
      <c r="C58" s="11"/>
      <c r="D58" s="7"/>
      <c r="E58" s="2"/>
      <c r="F58" s="6">
        <f t="shared" si="38"/>
        <v>0</v>
      </c>
      <c r="G58" s="2"/>
      <c r="H58" s="7"/>
      <c r="I58" s="2"/>
      <c r="J58" s="6">
        <f t="shared" si="39"/>
        <v>0</v>
      </c>
      <c r="K58" s="2"/>
      <c r="L58" s="7">
        <f t="shared" si="40"/>
        <v>0</v>
      </c>
      <c r="M58" s="2"/>
      <c r="N58" s="6">
        <f t="shared" si="41"/>
        <v>0</v>
      </c>
      <c r="O58" s="11"/>
      <c r="P58" s="7">
        <v>103.2</v>
      </c>
      <c r="Q58" s="2"/>
      <c r="R58" s="6">
        <f t="shared" si="42"/>
        <v>0</v>
      </c>
      <c r="S58" s="2"/>
      <c r="T58" s="7"/>
      <c r="U58" s="2"/>
      <c r="V58" s="6">
        <f t="shared" si="43"/>
        <v>0</v>
      </c>
      <c r="W58" s="2"/>
      <c r="X58" s="7">
        <f t="shared" si="44"/>
        <v>103.2</v>
      </c>
      <c r="Y58" s="2"/>
      <c r="Z58" s="6">
        <f t="shared" si="45"/>
        <v>0</v>
      </c>
    </row>
    <row r="59" spans="1:26" s="28" customFormat="1" outlineLevel="1" collapsed="1" x14ac:dyDescent="0.25">
      <c r="A59" s="27"/>
      <c r="B59" s="14" t="str">
        <f>CONCATENATE("     ","Supplies                                          ")</f>
        <v xml:space="preserve">     Supplies                                          </v>
      </c>
      <c r="C59" s="14"/>
      <c r="D59" s="1">
        <f>SUM(OSRRefD22_9x_0)</f>
        <v>0</v>
      </c>
      <c r="E59" s="1"/>
      <c r="F59" s="5">
        <f t="shared" ref="F59:F62" si="46">IF(D$12=0,0,D59/D$12)</f>
        <v>0</v>
      </c>
      <c r="G59" s="1"/>
      <c r="H59" s="1">
        <f>SUM(OSRRefH22_9x_0)</f>
        <v>800</v>
      </c>
      <c r="I59" s="1"/>
      <c r="J59" s="5">
        <f t="shared" ref="J59:J62" si="47">IF(H$12=0,0,H59/H$12)</f>
        <v>5.8836508053247041E-2</v>
      </c>
      <c r="K59" s="1"/>
      <c r="L59" s="1">
        <f t="shared" ref="L59:L62" si="48">+D59-H59</f>
        <v>-800</v>
      </c>
      <c r="M59" s="1"/>
      <c r="N59" s="5">
        <f t="shared" ref="N59:N62" si="49">IF(H59=0,0,L59/H59)</f>
        <v>-1</v>
      </c>
      <c r="O59" s="14"/>
      <c r="P59" s="1">
        <f>SUM(OSRRefP22_9x_0)</f>
        <v>42.84</v>
      </c>
      <c r="Q59" s="1"/>
      <c r="R59" s="5">
        <f t="shared" ref="R59:R62" si="50">IF(P$12=0,0,P59/P$12)</f>
        <v>0</v>
      </c>
      <c r="S59" s="1"/>
      <c r="T59" s="1">
        <f>SUM(OSRRefT22_9x_0)</f>
        <v>2000</v>
      </c>
      <c r="U59" s="1"/>
      <c r="V59" s="5">
        <f t="shared" ref="V59:V62" si="51">IF(T$12=0,0,T59/T$12)</f>
        <v>0.11054609772275038</v>
      </c>
      <c r="W59" s="1"/>
      <c r="X59" s="1">
        <f t="shared" ref="X59:X62" si="52">+P59-T59</f>
        <v>-1957.16</v>
      </c>
      <c r="Y59" s="1"/>
      <c r="Z59" s="5">
        <f t="shared" ref="Z59:Z62" si="53">IF(T59=0,0,X59/T59)</f>
        <v>-0.97858000000000001</v>
      </c>
    </row>
    <row r="60" spans="1:26" s="24" customFormat="1" hidden="1" outlineLevel="2" x14ac:dyDescent="0.25">
      <c r="A60" s="29"/>
      <c r="B60" s="11" t="str">
        <f>CONCATENATE("          ", "6237", " - ", "JANITORIAL SUPPLIES")</f>
        <v xml:space="preserve">          6237 - JANITORIAL SUPPLIES</v>
      </c>
      <c r="C60" s="11"/>
      <c r="D60" s="7"/>
      <c r="E60" s="2"/>
      <c r="F60" s="6">
        <f t="shared" si="46"/>
        <v>0</v>
      </c>
      <c r="G60" s="2"/>
      <c r="H60" s="7"/>
      <c r="I60" s="2"/>
      <c r="J60" s="6">
        <f t="shared" si="47"/>
        <v>0</v>
      </c>
      <c r="K60" s="2"/>
      <c r="L60" s="7">
        <f t="shared" si="48"/>
        <v>0</v>
      </c>
      <c r="M60" s="2"/>
      <c r="N60" s="6">
        <f t="shared" si="49"/>
        <v>0</v>
      </c>
      <c r="O60" s="11"/>
      <c r="P60" s="7">
        <v>38.340000000000003</v>
      </c>
      <c r="Q60" s="2"/>
      <c r="R60" s="6">
        <f t="shared" si="50"/>
        <v>0</v>
      </c>
      <c r="S60" s="2"/>
      <c r="T60" s="7"/>
      <c r="U60" s="2"/>
      <c r="V60" s="6">
        <f t="shared" si="51"/>
        <v>0</v>
      </c>
      <c r="W60" s="2"/>
      <c r="X60" s="7">
        <f t="shared" si="52"/>
        <v>38.340000000000003</v>
      </c>
      <c r="Y60" s="2"/>
      <c r="Z60" s="6">
        <f t="shared" si="53"/>
        <v>0</v>
      </c>
    </row>
    <row r="61" spans="1:26" s="24" customFormat="1" hidden="1" outlineLevel="2" x14ac:dyDescent="0.25">
      <c r="A61" s="29"/>
      <c r="B61" s="11" t="str">
        <f>CONCATENATE("          ", "6241", " - ", "OFFICE EXPENSE")</f>
        <v xml:space="preserve">          6241 - OFFICE EXPENSE</v>
      </c>
      <c r="C61" s="11"/>
      <c r="D61" s="7"/>
      <c r="E61" s="2"/>
      <c r="F61" s="6">
        <f t="shared" si="46"/>
        <v>0</v>
      </c>
      <c r="G61" s="2"/>
      <c r="H61" s="7"/>
      <c r="I61" s="2"/>
      <c r="J61" s="6">
        <f t="shared" si="47"/>
        <v>0</v>
      </c>
      <c r="K61" s="2"/>
      <c r="L61" s="7">
        <f t="shared" si="48"/>
        <v>0</v>
      </c>
      <c r="M61" s="2"/>
      <c r="N61" s="6">
        <f t="shared" si="49"/>
        <v>0</v>
      </c>
      <c r="O61" s="11"/>
      <c r="P61" s="7">
        <v>4.5</v>
      </c>
      <c r="Q61" s="2"/>
      <c r="R61" s="6">
        <f t="shared" si="50"/>
        <v>0</v>
      </c>
      <c r="S61" s="2"/>
      <c r="T61" s="7"/>
      <c r="U61" s="2"/>
      <c r="V61" s="6">
        <f t="shared" si="51"/>
        <v>0</v>
      </c>
      <c r="W61" s="2"/>
      <c r="X61" s="7">
        <f t="shared" si="52"/>
        <v>4.5</v>
      </c>
      <c r="Y61" s="2"/>
      <c r="Z61" s="6">
        <f t="shared" si="53"/>
        <v>0</v>
      </c>
    </row>
    <row r="62" spans="1:26" s="24" customFormat="1" hidden="1" outlineLevel="2" x14ac:dyDescent="0.25">
      <c r="A62" s="29"/>
      <c r="B62" s="11" t="str">
        <f>CONCATENATE("          ", "6247", " - ", "STORE SUPPLIES")</f>
        <v xml:space="preserve">          6247 - STORE SUPPLIES</v>
      </c>
      <c r="C62" s="11"/>
      <c r="D62" s="7"/>
      <c r="E62" s="2"/>
      <c r="F62" s="6">
        <f t="shared" si="46"/>
        <v>0</v>
      </c>
      <c r="G62" s="2"/>
      <c r="H62" s="7">
        <v>800</v>
      </c>
      <c r="I62" s="2"/>
      <c r="J62" s="6">
        <f t="shared" si="47"/>
        <v>5.8836508053247041E-2</v>
      </c>
      <c r="K62" s="2"/>
      <c r="L62" s="7">
        <f t="shared" si="48"/>
        <v>-800</v>
      </c>
      <c r="M62" s="2"/>
      <c r="N62" s="6">
        <f t="shared" si="49"/>
        <v>-1</v>
      </c>
      <c r="O62" s="11"/>
      <c r="P62" s="7"/>
      <c r="Q62" s="2"/>
      <c r="R62" s="6">
        <f t="shared" si="50"/>
        <v>0</v>
      </c>
      <c r="S62" s="2"/>
      <c r="T62" s="7">
        <v>2000</v>
      </c>
      <c r="U62" s="2"/>
      <c r="V62" s="6">
        <f t="shared" si="51"/>
        <v>0.11054609772275038</v>
      </c>
      <c r="W62" s="2"/>
      <c r="X62" s="7">
        <f t="shared" si="52"/>
        <v>-2000</v>
      </c>
      <c r="Y62" s="2"/>
      <c r="Z62" s="6">
        <f t="shared" si="53"/>
        <v>-1</v>
      </c>
    </row>
    <row r="63" spans="1:26" s="28" customFormat="1" outlineLevel="1" collapsed="1" x14ac:dyDescent="0.25">
      <c r="A63" s="27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SUM(OSRRefD22_10x_0)</f>
        <v>51.5</v>
      </c>
      <c r="E63" s="1"/>
      <c r="F63" s="5">
        <f t="shared" ref="F63:F66" si="54">IF(D$12=0,0,D63/D$12)</f>
        <v>0</v>
      </c>
      <c r="G63" s="1"/>
      <c r="H63" s="1">
        <f>SUM(OSRRefH22_10x_0)</f>
        <v>53</v>
      </c>
      <c r="I63" s="1"/>
      <c r="J63" s="5">
        <f t="shared" ref="J63:J66" si="55">IF(H$12=0,0,H63/H$12)</f>
        <v>3.8979186585276163E-3</v>
      </c>
      <c r="K63" s="1"/>
      <c r="L63" s="1">
        <f t="shared" ref="L63:L66" si="56">+D63-H63</f>
        <v>-1.5</v>
      </c>
      <c r="M63" s="1"/>
      <c r="N63" s="5">
        <f t="shared" ref="N63:N66" si="57">IF(H63=0,0,L63/H63)</f>
        <v>-2.8301886792452831E-2</v>
      </c>
      <c r="O63" s="14"/>
      <c r="P63" s="1">
        <f>SUM(OSRRefP22_10x_0)</f>
        <v>132.5</v>
      </c>
      <c r="Q63" s="1"/>
      <c r="R63" s="5">
        <f t="shared" ref="R63:R66" si="58">IF(P$12=0,0,P63/P$12)</f>
        <v>0</v>
      </c>
      <c r="S63" s="1"/>
      <c r="T63" s="1">
        <f>SUM(OSRRefT22_10x_0)</f>
        <v>159</v>
      </c>
      <c r="U63" s="1"/>
      <c r="V63" s="5">
        <f t="shared" ref="V63:V66" si="59">IF(T$12=0,0,T63/T$12)</f>
        <v>8.788414768958655E-3</v>
      </c>
      <c r="W63" s="1"/>
      <c r="X63" s="1">
        <f t="shared" ref="X63:X66" si="60">+P63-T63</f>
        <v>-26.5</v>
      </c>
      <c r="Y63" s="1"/>
      <c r="Z63" s="5">
        <f t="shared" ref="Z63:Z66" si="61">IF(T63=0,0,X63/T63)</f>
        <v>-0.16666666666666666</v>
      </c>
    </row>
    <row r="64" spans="1:26" s="24" customFormat="1" hidden="1" outlineLevel="2" x14ac:dyDescent="0.25">
      <c r="A64" s="29"/>
      <c r="B64" s="11" t="str">
        <f>CONCATENATE("          ", "6309", " - ", "TELEPHONE")</f>
        <v xml:space="preserve">          6309 - TELEPHONE</v>
      </c>
      <c r="C64" s="11"/>
      <c r="D64" s="7">
        <v>51.5</v>
      </c>
      <c r="E64" s="2"/>
      <c r="F64" s="6">
        <f t="shared" si="54"/>
        <v>0</v>
      </c>
      <c r="G64" s="2"/>
      <c r="H64" s="7">
        <v>53</v>
      </c>
      <c r="I64" s="2"/>
      <c r="J64" s="6">
        <f t="shared" si="55"/>
        <v>3.8979186585276163E-3</v>
      </c>
      <c r="K64" s="2"/>
      <c r="L64" s="7">
        <f t="shared" si="56"/>
        <v>-1.5</v>
      </c>
      <c r="M64" s="2"/>
      <c r="N64" s="6">
        <f t="shared" si="57"/>
        <v>-2.8301886792452831E-2</v>
      </c>
      <c r="O64" s="11"/>
      <c r="P64" s="7">
        <v>132.5</v>
      </c>
      <c r="Q64" s="2"/>
      <c r="R64" s="6">
        <f t="shared" si="58"/>
        <v>0</v>
      </c>
      <c r="S64" s="2"/>
      <c r="T64" s="7">
        <v>159</v>
      </c>
      <c r="U64" s="2"/>
      <c r="V64" s="6">
        <f t="shared" si="59"/>
        <v>8.788414768958655E-3</v>
      </c>
      <c r="W64" s="2"/>
      <c r="X64" s="7">
        <f t="shared" si="60"/>
        <v>-26.5</v>
      </c>
      <c r="Y64" s="2"/>
      <c r="Z64" s="6">
        <f t="shared" si="61"/>
        <v>-0.16666666666666666</v>
      </c>
    </row>
    <row r="65" spans="1:26" s="28" customFormat="1" outlineLevel="1" collapsed="1" x14ac:dyDescent="0.25">
      <c r="A65" s="27"/>
      <c r="B65" s="14" t="str">
        <f>CONCATENATE("     ","Training                                          ")</f>
        <v xml:space="preserve">     Training                                          </v>
      </c>
      <c r="C65" s="14"/>
      <c r="D65" s="1">
        <f>SUM(OSRRefD22_11x_0)</f>
        <v>0</v>
      </c>
      <c r="E65" s="1"/>
      <c r="F65" s="5">
        <f t="shared" si="54"/>
        <v>0</v>
      </c>
      <c r="G65" s="1"/>
      <c r="H65" s="1">
        <f>SUM(OSRRefH22_11x_0)</f>
        <v>0</v>
      </c>
      <c r="I65" s="1"/>
      <c r="J65" s="5">
        <f t="shared" si="55"/>
        <v>0</v>
      </c>
      <c r="K65" s="1"/>
      <c r="L65" s="1">
        <f t="shared" si="56"/>
        <v>0</v>
      </c>
      <c r="M65" s="1"/>
      <c r="N65" s="5">
        <f t="shared" si="57"/>
        <v>0</v>
      </c>
      <c r="O65" s="14"/>
      <c r="P65" s="1">
        <f>SUM(OSRRefP22_11x_0)</f>
        <v>0</v>
      </c>
      <c r="Q65" s="1"/>
      <c r="R65" s="5">
        <f t="shared" si="58"/>
        <v>0</v>
      </c>
      <c r="S65" s="1"/>
      <c r="T65" s="1">
        <f>SUM(OSRRefT22_11x_0)</f>
        <v>75</v>
      </c>
      <c r="U65" s="1"/>
      <c r="V65" s="5">
        <f t="shared" si="59"/>
        <v>4.1454786646031392E-3</v>
      </c>
      <c r="W65" s="1"/>
      <c r="X65" s="1">
        <f t="shared" si="60"/>
        <v>-75</v>
      </c>
      <c r="Y65" s="1"/>
      <c r="Z65" s="5">
        <f t="shared" si="61"/>
        <v>-1</v>
      </c>
    </row>
    <row r="66" spans="1:26" s="24" customFormat="1" hidden="1" outlineLevel="2" x14ac:dyDescent="0.25">
      <c r="A66" s="29"/>
      <c r="B66" s="11" t="str">
        <f>CONCATENATE("          ", "6376", " - ", "TRAINING")</f>
        <v xml:space="preserve">          6376 - TRAINING</v>
      </c>
      <c r="C66" s="11"/>
      <c r="D66" s="7"/>
      <c r="E66" s="2"/>
      <c r="F66" s="6">
        <f t="shared" si="54"/>
        <v>0</v>
      </c>
      <c r="G66" s="2"/>
      <c r="H66" s="7"/>
      <c r="I66" s="2"/>
      <c r="J66" s="6">
        <f t="shared" si="55"/>
        <v>0</v>
      </c>
      <c r="K66" s="2"/>
      <c r="L66" s="7">
        <f t="shared" si="56"/>
        <v>0</v>
      </c>
      <c r="M66" s="2"/>
      <c r="N66" s="6">
        <f t="shared" si="57"/>
        <v>0</v>
      </c>
      <c r="O66" s="11"/>
      <c r="P66" s="7"/>
      <c r="Q66" s="2"/>
      <c r="R66" s="6">
        <f t="shared" si="58"/>
        <v>0</v>
      </c>
      <c r="S66" s="2"/>
      <c r="T66" s="7">
        <v>75</v>
      </c>
      <c r="U66" s="2"/>
      <c r="V66" s="6">
        <f t="shared" si="59"/>
        <v>4.1454786646031392E-3</v>
      </c>
      <c r="W66" s="2"/>
      <c r="X66" s="7">
        <f t="shared" si="60"/>
        <v>-75</v>
      </c>
      <c r="Y66" s="2"/>
      <c r="Z66" s="6">
        <f t="shared" si="61"/>
        <v>-1</v>
      </c>
    </row>
    <row r="67" spans="1:26" s="58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6" t="s">
        <v>293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5" t="s">
        <v>277</v>
      </c>
      <c r="C70" s="25"/>
      <c r="D70" s="21">
        <f>+D19-D21+D68</f>
        <v>-1274.7300000000002</v>
      </c>
      <c r="E70" s="13"/>
      <c r="F70" s="20">
        <f>IF(D$12=0,0,D70/D$12)</f>
        <v>0</v>
      </c>
      <c r="G70" s="13"/>
      <c r="H70" s="21">
        <f>+H19-H21+H68</f>
        <v>-2517.8340000000007</v>
      </c>
      <c r="I70" s="13"/>
      <c r="J70" s="20">
        <f>IF(H$12=0,0,H70/H$12)</f>
        <v>-0.18517570052217405</v>
      </c>
      <c r="K70" s="16"/>
      <c r="L70" s="21">
        <f>+D70-H70</f>
        <v>1243.1040000000005</v>
      </c>
      <c r="M70" s="16"/>
      <c r="N70" s="20">
        <f>IF(H70=0,0,L70/H70)</f>
        <v>-0.49371960184825536</v>
      </c>
      <c r="O70" s="26"/>
      <c r="P70" s="21">
        <f>+P19-P21+P68</f>
        <v>-4772.8499999999995</v>
      </c>
      <c r="Q70" s="13"/>
      <c r="R70" s="20">
        <f>IF(P$12=0,0,P70/P$12)</f>
        <v>0</v>
      </c>
      <c r="S70" s="13"/>
      <c r="T70" s="21">
        <f>+T19-T21+T68</f>
        <v>-9969.2172250000003</v>
      </c>
      <c r="U70" s="13"/>
      <c r="V70" s="20">
        <f>IF(T$12=0,0,T70/T$12)</f>
        <v>-0.5510290307870882</v>
      </c>
      <c r="W70" s="16"/>
      <c r="X70" s="21">
        <f>+P70-T70</f>
        <v>5196.3672250000009</v>
      </c>
      <c r="Y70" s="16"/>
      <c r="Z70" s="20">
        <f>IF(T70=0,0,X70/T70)</f>
        <v>-0.52124124770488189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2"/>
      <c r="B72" s="10" t="s">
        <v>128</v>
      </c>
      <c r="C72" s="10"/>
      <c r="D72" s="4"/>
      <c r="E72" s="4"/>
      <c r="F72" s="12">
        <f>IF(D$12=0,0,D72/D$12)</f>
        <v>0</v>
      </c>
      <c r="G72" s="4"/>
      <c r="H72" s="4">
        <v>1461</v>
      </c>
      <c r="I72" s="4"/>
      <c r="J72" s="12">
        <f>IF(H$12=0,0,H72/H$12)</f>
        <v>0.10745017283224241</v>
      </c>
      <c r="K72" s="4"/>
      <c r="L72" s="4">
        <f>+D72-H72</f>
        <v>-1461</v>
      </c>
      <c r="M72" s="4"/>
      <c r="N72" s="12">
        <f>IF(H72=0,0,L72/H72)</f>
        <v>-1</v>
      </c>
      <c r="O72" s="10"/>
      <c r="P72" s="4"/>
      <c r="Q72" s="4"/>
      <c r="R72" s="12">
        <f>IF(P$12=0,0,P72/P$12)</f>
        <v>0</v>
      </c>
      <c r="S72" s="4"/>
      <c r="T72" s="4">
        <v>1964</v>
      </c>
      <c r="U72" s="4"/>
      <c r="V72" s="12">
        <f>IF(T$12=0,0,T72/T$12)</f>
        <v>0.10855626796374088</v>
      </c>
      <c r="W72" s="4"/>
      <c r="X72" s="4">
        <f>+P72-T72</f>
        <v>-1964</v>
      </c>
      <c r="Y72" s="4"/>
      <c r="Z72" s="12">
        <f>IF(T72=0,0,X72/T72)</f>
        <v>-1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5" t="s">
        <v>126</v>
      </c>
      <c r="C74" s="25"/>
      <c r="D74" s="33">
        <f>+D70-D72</f>
        <v>-1274.7300000000002</v>
      </c>
      <c r="E74" s="13"/>
      <c r="F74" s="31">
        <f>IF(D$12=0,0,D74/D$12)</f>
        <v>0</v>
      </c>
      <c r="G74" s="13"/>
      <c r="H74" s="33">
        <f>+H70-H72</f>
        <v>-3978.8340000000007</v>
      </c>
      <c r="I74" s="13"/>
      <c r="J74" s="31">
        <f>IF(H$12=0,0,H74/H$12)</f>
        <v>-0.29262587335441648</v>
      </c>
      <c r="K74" s="16"/>
      <c r="L74" s="33">
        <f>D74-H74</f>
        <v>2704.1040000000003</v>
      </c>
      <c r="M74" s="16"/>
      <c r="N74" s="31">
        <f>IF(H74=0,0,L74/H74)</f>
        <v>-0.67962222098232794</v>
      </c>
      <c r="O74" s="26"/>
      <c r="P74" s="33">
        <f>+P70-P72</f>
        <v>-4772.8499999999995</v>
      </c>
      <c r="Q74" s="13"/>
      <c r="R74" s="31">
        <f>IF(P$12=0,0,P74/P$12)</f>
        <v>0</v>
      </c>
      <c r="S74" s="13"/>
      <c r="T74" s="33">
        <f>+T70-T72</f>
        <v>-11933.217225</v>
      </c>
      <c r="U74" s="13"/>
      <c r="V74" s="31">
        <f>IF(T$12=0,0,T74/T$12)</f>
        <v>-0.65958529875082916</v>
      </c>
      <c r="W74" s="16"/>
      <c r="X74" s="33">
        <f>P74-T74</f>
        <v>7160.3672250000009</v>
      </c>
      <c r="Y74" s="16"/>
      <c r="Z74" s="31">
        <f>IF(T74=0,0,X74/T74)</f>
        <v>-0.60003661125007302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5" t="s">
        <v>294</v>
      </c>
      <c r="C77" s="25"/>
      <c r="D77" s="35">
        <f>SUM(D74:D76)</f>
        <v>-1274.7300000000002</v>
      </c>
      <c r="E77" s="13"/>
      <c r="F77" s="34">
        <f>IF(D$12=0,0,D77/D$12)</f>
        <v>0</v>
      </c>
      <c r="G77" s="13"/>
      <c r="H77" s="35">
        <f>SUM(H74:H76)</f>
        <v>-3978.8340000000007</v>
      </c>
      <c r="I77" s="13"/>
      <c r="J77" s="34">
        <f>IF(H$12=0,0,H77/H$12)</f>
        <v>-0.29262587335441648</v>
      </c>
      <c r="K77" s="16"/>
      <c r="L77" s="35">
        <f>+D77-H77</f>
        <v>2704.1040000000003</v>
      </c>
      <c r="M77" s="16"/>
      <c r="N77" s="34">
        <f>IF(H77=0,0,L77/H77)</f>
        <v>-0.67962222098232794</v>
      </c>
      <c r="O77" s="26"/>
      <c r="P77" s="35">
        <f>SUM(P74:P76)</f>
        <v>-4772.8499999999995</v>
      </c>
      <c r="Q77" s="13"/>
      <c r="R77" s="34">
        <f>IF(P$12=0,0,P77/P$12)</f>
        <v>0</v>
      </c>
      <c r="S77" s="13"/>
      <c r="T77" s="35">
        <f>SUM(T74:T76)</f>
        <v>-11933.217225</v>
      </c>
      <c r="U77" s="13"/>
      <c r="V77" s="34">
        <f>IF(T$12=0,0,T77/T$12)</f>
        <v>-0.65958529875082916</v>
      </c>
      <c r="W77" s="16"/>
      <c r="X77" s="35">
        <f>+P77-T77</f>
        <v>7160.3672250000009</v>
      </c>
      <c r="Y77" s="16"/>
      <c r="Z77" s="34">
        <f>IF(T77=0,0,X77/T77)</f>
        <v>-0.60003661125007302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61">
        <v>44481.978956793981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6" t="s">
        <v>56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4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","322", " - ", "Beach Hut")</f>
        <v>Department 322 - Beach Hut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108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295</v>
      </c>
      <c r="C18" s="10"/>
      <c r="D18" s="22">
        <f>SUM(OSRRefD22x_0)</f>
        <v>71.86</v>
      </c>
      <c r="E18" s="22"/>
      <c r="F18" s="32">
        <f t="shared" ref="F18:F20" si="0">IF(D$12=0,0,D18/D$12)</f>
        <v>0</v>
      </c>
      <c r="G18" s="22"/>
      <c r="H18" s="22">
        <f>SUM(OSRRefH22x_0)</f>
        <v>0</v>
      </c>
      <c r="I18" s="22"/>
      <c r="J18" s="32">
        <f t="shared" ref="J18:J20" si="1">IF(H$12=0,0,H18/H$12)</f>
        <v>0</v>
      </c>
      <c r="K18" s="4"/>
      <c r="L18" s="22">
        <f t="shared" ref="L18:L20" si="2">+D18-H18</f>
        <v>71.86</v>
      </c>
      <c r="M18" s="4"/>
      <c r="N18" s="32">
        <f t="shared" ref="N18:N20" si="3">IF(H18=0,0,L18/H18)</f>
        <v>0</v>
      </c>
      <c r="O18" s="10"/>
      <c r="P18" s="22">
        <f>SUM(OSRRefP22x_0)</f>
        <v>71.86</v>
      </c>
      <c r="Q18" s="22"/>
      <c r="R18" s="32">
        <f t="shared" ref="R18:R20" si="4">IF(P$12=0,0,P18/P$12)</f>
        <v>0</v>
      </c>
      <c r="S18" s="22"/>
      <c r="T18" s="22">
        <f>SUM(OSRRefT22x_0)</f>
        <v>0</v>
      </c>
      <c r="U18" s="22"/>
      <c r="V18" s="32">
        <f t="shared" ref="V18:V20" si="5">IF(T$12=0,0,T18/T$12)</f>
        <v>0</v>
      </c>
      <c r="W18" s="4"/>
      <c r="X18" s="22">
        <f t="shared" ref="X18:X20" si="6">+P18-T18</f>
        <v>71.86</v>
      </c>
      <c r="Y18" s="4"/>
      <c r="Z18" s="32">
        <f t="shared" ref="Z18:Z20" si="7">IF(T18=0,0,X18/T18)</f>
        <v>0</v>
      </c>
    </row>
    <row r="19" spans="1:26" s="28" customFormat="1" outlineLevel="1" collapsed="1" x14ac:dyDescent="0.25">
      <c r="A19" s="27"/>
      <c r="B19" s="14" t="str">
        <f>CONCATENATE("     ","Repair and Maintenance                            ")</f>
        <v xml:space="preserve">     Repair and Maintenance                            </v>
      </c>
      <c r="C19" s="14"/>
      <c r="D19" s="1">
        <f>SUM(OSRRefD22_0x_0)</f>
        <v>71.86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71.86</v>
      </c>
      <c r="M19" s="1"/>
      <c r="N19" s="5">
        <f t="shared" si="3"/>
        <v>0</v>
      </c>
      <c r="O19" s="14"/>
      <c r="P19" s="1">
        <f>SUM(OSRRefP22_0x_0)</f>
        <v>71.86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71.86</v>
      </c>
      <c r="Y19" s="1"/>
      <c r="Z19" s="5">
        <f t="shared" si="7"/>
        <v>0</v>
      </c>
    </row>
    <row r="20" spans="1:26" s="24" customFormat="1" hidden="1" outlineLevel="2" x14ac:dyDescent="0.25">
      <c r="A20" s="29"/>
      <c r="B20" s="11" t="str">
        <f>CONCATENATE("          ", "6373", " - ", "MAINTENANCE CONTRACTS")</f>
        <v xml:space="preserve">          6373 - MAINTENANCE CONTRACTS</v>
      </c>
      <c r="C20" s="11"/>
      <c r="D20" s="7">
        <v>71.86</v>
      </c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71.86</v>
      </c>
      <c r="M20" s="2"/>
      <c r="N20" s="6">
        <f t="shared" si="3"/>
        <v>0</v>
      </c>
      <c r="O20" s="11"/>
      <c r="P20" s="7">
        <v>71.86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71.86</v>
      </c>
      <c r="Y20" s="2"/>
      <c r="Z20" s="6">
        <f t="shared" si="7"/>
        <v>0</v>
      </c>
    </row>
    <row r="21" spans="1:26" s="58" customFormat="1" x14ac:dyDescent="0.25">
      <c r="A21" s="36"/>
      <c r="B21" s="36"/>
      <c r="C21" s="36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293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5" t="s">
        <v>277</v>
      </c>
      <c r="C24" s="25"/>
      <c r="D24" s="21">
        <f>+D16-D18+D22</f>
        <v>-71.86</v>
      </c>
      <c r="E24" s="13"/>
      <c r="F24" s="20">
        <f>IF(D$12=0,0,D24/D$12)</f>
        <v>0</v>
      </c>
      <c r="G24" s="13"/>
      <c r="H24" s="21">
        <f>+H16-H18+H22</f>
        <v>0</v>
      </c>
      <c r="I24" s="13"/>
      <c r="J24" s="20">
        <f>IF(H$12=0,0,H24/H$12)</f>
        <v>0</v>
      </c>
      <c r="K24" s="16"/>
      <c r="L24" s="21">
        <f>+D24-H24</f>
        <v>-71.86</v>
      </c>
      <c r="M24" s="16"/>
      <c r="N24" s="20">
        <f>IF(H24=0,0,L24/H24)</f>
        <v>0</v>
      </c>
      <c r="O24" s="26"/>
      <c r="P24" s="21">
        <f>+P16-P18+P22</f>
        <v>-71.86</v>
      </c>
      <c r="Q24" s="13"/>
      <c r="R24" s="20">
        <f>IF(P$12=0,0,P24/P$12)</f>
        <v>0</v>
      </c>
      <c r="S24" s="13"/>
      <c r="T24" s="21">
        <f>+T16-T18+T22</f>
        <v>0</v>
      </c>
      <c r="U24" s="13"/>
      <c r="V24" s="20">
        <f>IF(T$12=0,0,T24/T$12)</f>
        <v>0</v>
      </c>
      <c r="W24" s="16"/>
      <c r="X24" s="21">
        <f>+P24-T24</f>
        <v>-71.86</v>
      </c>
      <c r="Y24" s="16"/>
      <c r="Z24" s="20">
        <f>IF(T24=0,0,X24/T24)</f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2"/>
      <c r="B26" s="10" t="s">
        <v>128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5" t="s">
        <v>126</v>
      </c>
      <c r="C28" s="25"/>
      <c r="D28" s="33">
        <f>+D24-D26</f>
        <v>-71.86</v>
      </c>
      <c r="E28" s="13"/>
      <c r="F28" s="31">
        <f>IF(D$12=0,0,D28/D$12)</f>
        <v>0</v>
      </c>
      <c r="G28" s="13"/>
      <c r="H28" s="33">
        <f>+H24-H26</f>
        <v>0</v>
      </c>
      <c r="I28" s="13"/>
      <c r="J28" s="31">
        <f>IF(H$12=0,0,H28/H$12)</f>
        <v>0</v>
      </c>
      <c r="K28" s="16"/>
      <c r="L28" s="33">
        <f>D28-H28</f>
        <v>-71.86</v>
      </c>
      <c r="M28" s="16"/>
      <c r="N28" s="31">
        <f>IF(H28=0,0,L28/H28)</f>
        <v>0</v>
      </c>
      <c r="O28" s="26"/>
      <c r="P28" s="33">
        <f>+P24-P26</f>
        <v>-71.86</v>
      </c>
      <c r="Q28" s="13"/>
      <c r="R28" s="31">
        <f>IF(P$12=0,0,P28/P$12)</f>
        <v>0</v>
      </c>
      <c r="S28" s="13"/>
      <c r="T28" s="33">
        <f>+T24-T26</f>
        <v>0</v>
      </c>
      <c r="U28" s="13"/>
      <c r="V28" s="31">
        <f>IF(T$12=0,0,T28/T$12)</f>
        <v>0</v>
      </c>
      <c r="W28" s="16"/>
      <c r="X28" s="33">
        <f>P28-T28</f>
        <v>-71.86</v>
      </c>
      <c r="Y28" s="16"/>
      <c r="Z28" s="31">
        <f>IF(T28=0,0,X28/T28)</f>
        <v>0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294</v>
      </c>
      <c r="C31" s="25"/>
      <c r="D31" s="35">
        <f>SUM(D28:D30)</f>
        <v>-71.86</v>
      </c>
      <c r="E31" s="13"/>
      <c r="F31" s="34">
        <f>IF(D$12=0,0,D31/D$12)</f>
        <v>0</v>
      </c>
      <c r="G31" s="13"/>
      <c r="H31" s="35">
        <f>SUM(H28:H30)</f>
        <v>0</v>
      </c>
      <c r="I31" s="13"/>
      <c r="J31" s="34">
        <f>IF(H$12=0,0,H31/H$12)</f>
        <v>0</v>
      </c>
      <c r="K31" s="16"/>
      <c r="L31" s="35">
        <f>+D31-H31</f>
        <v>-71.86</v>
      </c>
      <c r="M31" s="16"/>
      <c r="N31" s="34">
        <f>IF(H31=0,0,L31/H31)</f>
        <v>0</v>
      </c>
      <c r="O31" s="26"/>
      <c r="P31" s="35">
        <f>SUM(P28:P30)</f>
        <v>-71.86</v>
      </c>
      <c r="Q31" s="13"/>
      <c r="R31" s="34">
        <f>IF(P$12=0,0,P31/P$12)</f>
        <v>0</v>
      </c>
      <c r="S31" s="13"/>
      <c r="T31" s="35">
        <f>SUM(T28:T30)</f>
        <v>0</v>
      </c>
      <c r="U31" s="13"/>
      <c r="V31" s="34">
        <f>IF(T$12=0,0,T31/T$12)</f>
        <v>0</v>
      </c>
      <c r="W31" s="16"/>
      <c r="X31" s="35">
        <f>+P31-T31</f>
        <v>-71.86</v>
      </c>
      <c r="Y31" s="16"/>
      <c r="Z31" s="34">
        <f>IF(T31=0,0,X31/T31)</f>
        <v>0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61">
        <v>44481.978956793981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6" t="s">
        <v>56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4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","325", " - ", "Outpost C-Store")</f>
        <v>Department 325 - Outpost C-Store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16104.16</v>
      </c>
      <c r="E12" s="4"/>
      <c r="F12" s="12"/>
      <c r="G12" s="4"/>
      <c r="H12" s="4">
        <f>SUM(OSRRefH13x_0)</f>
        <v>27854</v>
      </c>
      <c r="I12" s="4"/>
      <c r="J12" s="12"/>
      <c r="K12" s="4"/>
      <c r="L12" s="4">
        <f t="shared" ref="L12:L14" si="0">+D12-H12</f>
        <v>-11749.84</v>
      </c>
      <c r="M12" s="4"/>
      <c r="N12" s="12">
        <f t="shared" ref="N12:N14" si="1">IF(H12=0,0,L12/H12)</f>
        <v>-0.42183672004020967</v>
      </c>
      <c r="O12" s="10"/>
      <c r="P12" s="4">
        <f>SUM(OSRRefP13x_0)</f>
        <v>22638.949999999997</v>
      </c>
      <c r="Q12" s="4"/>
      <c r="R12" s="12"/>
      <c r="S12" s="4"/>
      <c r="T12" s="4">
        <f>SUM(OSRRefT13x_0)</f>
        <v>35848</v>
      </c>
      <c r="U12" s="4"/>
      <c r="V12" s="12"/>
      <c r="W12" s="4"/>
      <c r="X12" s="4">
        <f t="shared" ref="X12:X14" si="2">+P12-T12</f>
        <v>-13209.050000000003</v>
      </c>
      <c r="Y12" s="4"/>
      <c r="Z12" s="12">
        <f t="shared" ref="Z12:Z14" si="3">IF(T12=0,0,X12/T12)</f>
        <v>-0.36847383396563277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--2858.93</f>
        <v>2858.93</v>
      </c>
      <c r="E13" s="2"/>
      <c r="F13" s="19"/>
      <c r="G13" s="2"/>
      <c r="H13" s="2">
        <v>4937</v>
      </c>
      <c r="I13" s="2"/>
      <c r="J13" s="19"/>
      <c r="K13" s="2"/>
      <c r="L13" s="2">
        <f t="shared" si="0"/>
        <v>-2078.0700000000002</v>
      </c>
      <c r="M13" s="2"/>
      <c r="N13" s="19">
        <f t="shared" si="1"/>
        <v>-0.42091756127202756</v>
      </c>
      <c r="O13" s="11"/>
      <c r="P13" s="2">
        <f>--4093.85</f>
        <v>4093.85</v>
      </c>
      <c r="Q13" s="2"/>
      <c r="R13" s="19"/>
      <c r="S13" s="2"/>
      <c r="T13" s="2">
        <v>6354</v>
      </c>
      <c r="U13" s="2"/>
      <c r="V13" s="19"/>
      <c r="W13" s="2"/>
      <c r="X13" s="2">
        <f t="shared" si="2"/>
        <v>-2260.15</v>
      </c>
      <c r="Y13" s="2"/>
      <c r="Z13" s="19">
        <f t="shared" si="3"/>
        <v>-0.35570506767390619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--13245.23</f>
        <v>13245.23</v>
      </c>
      <c r="E14" s="2"/>
      <c r="F14" s="19"/>
      <c r="G14" s="2"/>
      <c r="H14" s="2">
        <v>22917</v>
      </c>
      <c r="I14" s="2"/>
      <c r="J14" s="19"/>
      <c r="K14" s="2"/>
      <c r="L14" s="2">
        <f t="shared" si="0"/>
        <v>-9671.77</v>
      </c>
      <c r="M14" s="2"/>
      <c r="N14" s="19">
        <f t="shared" si="1"/>
        <v>-0.42203473404023217</v>
      </c>
      <c r="O14" s="11"/>
      <c r="P14" s="2">
        <f>--18545.1</f>
        <v>18545.099999999999</v>
      </c>
      <c r="Q14" s="2"/>
      <c r="R14" s="19"/>
      <c r="S14" s="2"/>
      <c r="T14" s="2">
        <v>29494</v>
      </c>
      <c r="U14" s="2"/>
      <c r="V14" s="19"/>
      <c r="W14" s="2"/>
      <c r="X14" s="2">
        <f t="shared" si="2"/>
        <v>-10948.900000000001</v>
      </c>
      <c r="Y14" s="2"/>
      <c r="Z14" s="19">
        <f t="shared" si="3"/>
        <v>-0.37122465586220932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257</v>
      </c>
      <c r="C16" s="10"/>
      <c r="D16" s="4">
        <f>SUM(OSRRefD16x_0)</f>
        <v>7890.5199999999995</v>
      </c>
      <c r="E16" s="4"/>
      <c r="F16" s="12">
        <f t="shared" ref="F16:F19" si="4">IF(D$12=0,0,D16/D$12)</f>
        <v>0.48996780955976588</v>
      </c>
      <c r="G16" s="4"/>
      <c r="H16" s="4">
        <f>SUM(OSRRefH16x_0)</f>
        <v>13649</v>
      </c>
      <c r="I16" s="4"/>
      <c r="J16" s="12">
        <f t="shared" ref="J16:J19" si="5">IF(H$12=0,0,H16/H$12)</f>
        <v>0.49001938680261364</v>
      </c>
      <c r="K16" s="4"/>
      <c r="L16" s="4">
        <f t="shared" ref="L16:L19" si="6">+D16-H16</f>
        <v>-5758.4800000000005</v>
      </c>
      <c r="M16" s="4"/>
      <c r="N16" s="12">
        <f t="shared" ref="N16:N19" si="7">IF(H16=0,0,L16/H16)</f>
        <v>-0.42189757491391316</v>
      </c>
      <c r="O16" s="10"/>
      <c r="P16" s="4">
        <f>SUM(OSRRefP16x_0)</f>
        <v>11092.080000000002</v>
      </c>
      <c r="Q16" s="4"/>
      <c r="R16" s="12">
        <f t="shared" ref="R16:R19" si="8">IF(P$12=0,0,P16/P$12)</f>
        <v>0.48995558539596595</v>
      </c>
      <c r="S16" s="4"/>
      <c r="T16" s="4">
        <f>SUM(OSRRefT16x_0)</f>
        <v>17566</v>
      </c>
      <c r="U16" s="4"/>
      <c r="V16" s="12">
        <f t="shared" ref="V16:V19" si="9">IF(T$12=0,0,T16/T$12)</f>
        <v>0.49001338986833298</v>
      </c>
      <c r="W16" s="4"/>
      <c r="X16" s="4">
        <f t="shared" ref="X16:X19" si="10">+P16-T16</f>
        <v>-6473.9199999999983</v>
      </c>
      <c r="Y16" s="4"/>
      <c r="Z16" s="12">
        <f t="shared" ref="Z16:Z19" si="11">IF(T16=0,0,X16/T16)</f>
        <v>-0.36854833200500958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4"/>
        <v>0</v>
      </c>
      <c r="G17" s="2"/>
      <c r="H17" s="2">
        <v>13649</v>
      </c>
      <c r="I17" s="2"/>
      <c r="J17" s="19">
        <f t="shared" si="5"/>
        <v>0.49001938680261364</v>
      </c>
      <c r="K17" s="2"/>
      <c r="L17" s="2">
        <f t="shared" si="6"/>
        <v>-13649</v>
      </c>
      <c r="M17" s="2"/>
      <c r="N17" s="19">
        <f t="shared" si="7"/>
        <v>-1</v>
      </c>
      <c r="O17" s="11"/>
      <c r="P17" s="2"/>
      <c r="Q17" s="2"/>
      <c r="R17" s="19">
        <f t="shared" si="8"/>
        <v>0</v>
      </c>
      <c r="S17" s="2"/>
      <c r="T17" s="2">
        <v>17566</v>
      </c>
      <c r="U17" s="2"/>
      <c r="V17" s="19">
        <f t="shared" si="9"/>
        <v>0.49001338986833298</v>
      </c>
      <c r="W17" s="2"/>
      <c r="X17" s="2">
        <f t="shared" si="10"/>
        <v>-17566</v>
      </c>
      <c r="Y17" s="2"/>
      <c r="Z17" s="19">
        <f t="shared" si="11"/>
        <v>-1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8370.32</v>
      </c>
      <c r="E18" s="2"/>
      <c r="F18" s="19">
        <f t="shared" si="4"/>
        <v>0.51976135358814124</v>
      </c>
      <c r="G18" s="2"/>
      <c r="H18" s="2"/>
      <c r="I18" s="2"/>
      <c r="J18" s="19">
        <f t="shared" si="5"/>
        <v>0</v>
      </c>
      <c r="K18" s="2"/>
      <c r="L18" s="2">
        <f t="shared" si="6"/>
        <v>8370.32</v>
      </c>
      <c r="M18" s="2"/>
      <c r="N18" s="19">
        <f t="shared" si="7"/>
        <v>0</v>
      </c>
      <c r="O18" s="11"/>
      <c r="P18" s="2">
        <v>23310.880000000001</v>
      </c>
      <c r="Q18" s="2"/>
      <c r="R18" s="19">
        <f t="shared" si="8"/>
        <v>1.0296802634397799</v>
      </c>
      <c r="S18" s="2"/>
      <c r="T18" s="2"/>
      <c r="U18" s="2"/>
      <c r="V18" s="19">
        <f t="shared" si="9"/>
        <v>0</v>
      </c>
      <c r="W18" s="2"/>
      <c r="X18" s="2">
        <f t="shared" si="10"/>
        <v>23310.880000000001</v>
      </c>
      <c r="Y18" s="2"/>
      <c r="Z18" s="19">
        <f t="shared" si="11"/>
        <v>0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-479.8</v>
      </c>
      <c r="E19" s="2"/>
      <c r="F19" s="19">
        <f t="shared" si="4"/>
        <v>-2.9793544028375279E-2</v>
      </c>
      <c r="G19" s="2"/>
      <c r="H19" s="2"/>
      <c r="I19" s="2"/>
      <c r="J19" s="19">
        <f t="shared" si="5"/>
        <v>0</v>
      </c>
      <c r="K19" s="2"/>
      <c r="L19" s="2">
        <f t="shared" si="6"/>
        <v>-479.8</v>
      </c>
      <c r="M19" s="2"/>
      <c r="N19" s="19">
        <f t="shared" si="7"/>
        <v>0</v>
      </c>
      <c r="O19" s="11"/>
      <c r="P19" s="2">
        <v>-12218.8</v>
      </c>
      <c r="Q19" s="2"/>
      <c r="R19" s="19">
        <f t="shared" si="8"/>
        <v>-0.53972467804381385</v>
      </c>
      <c r="S19" s="2"/>
      <c r="T19" s="2"/>
      <c r="U19" s="2"/>
      <c r="V19" s="19">
        <f t="shared" si="9"/>
        <v>0</v>
      </c>
      <c r="W19" s="2"/>
      <c r="X19" s="2">
        <f t="shared" si="10"/>
        <v>-12218.8</v>
      </c>
      <c r="Y19" s="2"/>
      <c r="Z19" s="19">
        <f t="shared" si="11"/>
        <v>0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5" t="s">
        <v>108</v>
      </c>
      <c r="C21" s="25"/>
      <c r="D21" s="21">
        <f>D12-D16</f>
        <v>8213.64</v>
      </c>
      <c r="E21" s="13"/>
      <c r="F21" s="20">
        <f>IF(D$12=0,0,D21/D$12)</f>
        <v>0.51003219044023407</v>
      </c>
      <c r="G21" s="13"/>
      <c r="H21" s="21">
        <f>H12-H16</f>
        <v>14205</v>
      </c>
      <c r="I21" s="13"/>
      <c r="J21" s="20">
        <f>IF(H$12=0,0,H21/H$12)</f>
        <v>0.50998061319738641</v>
      </c>
      <c r="K21" s="16"/>
      <c r="L21" s="21">
        <f>+D21-H21</f>
        <v>-5991.3600000000006</v>
      </c>
      <c r="M21" s="16"/>
      <c r="N21" s="20">
        <f>IF(H21=0,0,L21/H21)</f>
        <v>-0.42177824709609296</v>
      </c>
      <c r="O21" s="26"/>
      <c r="P21" s="21">
        <f>P12-P16</f>
        <v>11546.869999999995</v>
      </c>
      <c r="Q21" s="13"/>
      <c r="R21" s="20">
        <f>IF(P$12=0,0,P21/P$12)</f>
        <v>0.51004441460403405</v>
      </c>
      <c r="S21" s="13"/>
      <c r="T21" s="21">
        <f>T12-T16</f>
        <v>18282</v>
      </c>
      <c r="U21" s="13"/>
      <c r="V21" s="20">
        <f>IF(T$12=0,0,T21/T$12)</f>
        <v>0.50998661013166702</v>
      </c>
      <c r="W21" s="16"/>
      <c r="X21" s="21">
        <f>+P21-T21</f>
        <v>-6735.1300000000047</v>
      </c>
      <c r="Y21" s="16"/>
      <c r="Z21" s="20">
        <f>IF(T21=0,0,X21/T21)</f>
        <v>-0.36840225358275924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295</v>
      </c>
      <c r="C23" s="10"/>
      <c r="D23" s="22">
        <f>SUM(OSRRefD22x_0)</f>
        <v>16137.500000000002</v>
      </c>
      <c r="E23" s="22"/>
      <c r="F23" s="32">
        <f t="shared" ref="F23:F32" si="12">IF(D$12=0,0,D23/D$12)</f>
        <v>1.0020702725258568</v>
      </c>
      <c r="G23" s="22"/>
      <c r="H23" s="22">
        <f>SUM(OSRRefH22x_0)</f>
        <v>32249.49741230769</v>
      </c>
      <c r="I23" s="22"/>
      <c r="J23" s="32">
        <f t="shared" ref="J23:J32" si="13">IF(H$12=0,0,H23/H$12)</f>
        <v>1.1578048902243014</v>
      </c>
      <c r="K23" s="4"/>
      <c r="L23" s="22">
        <f t="shared" ref="L23:L32" si="14">+D23-H23</f>
        <v>-16111.997412307688</v>
      </c>
      <c r="M23" s="4"/>
      <c r="N23" s="32">
        <f t="shared" ref="N23:N32" si="15">IF(H23=0,0,L23/H23)</f>
        <v>-0.49960460488164721</v>
      </c>
      <c r="O23" s="10"/>
      <c r="P23" s="22">
        <f>SUM(OSRRefP22x_0)</f>
        <v>50986.19999999999</v>
      </c>
      <c r="Q23" s="22"/>
      <c r="R23" s="32">
        <f t="shared" ref="R23:R32" si="16">IF(P$12=0,0,P23/P$12)</f>
        <v>2.252145086234123</v>
      </c>
      <c r="S23" s="22"/>
      <c r="T23" s="22">
        <f>SUM(OSRRefT22x_0)</f>
        <v>76478.793290000001</v>
      </c>
      <c r="U23" s="22"/>
      <c r="V23" s="32">
        <f t="shared" ref="V23:V32" si="17">IF(T$12=0,0,T23/T$12)</f>
        <v>2.1334186925351486</v>
      </c>
      <c r="W23" s="4"/>
      <c r="X23" s="22">
        <f t="shared" ref="X23:X32" si="18">+P23-T23</f>
        <v>-25492.593290000012</v>
      </c>
      <c r="Y23" s="4"/>
      <c r="Z23" s="32">
        <f t="shared" ref="Z23:Z32" si="19">IF(T23=0,0,X23/T23)</f>
        <v>-0.33332891633546863</v>
      </c>
    </row>
    <row r="24" spans="1:26" s="28" customFormat="1" outlineLevel="1" collapsed="1" x14ac:dyDescent="0.25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259.75000000000006</v>
      </c>
      <c r="E24" s="1"/>
      <c r="F24" s="5">
        <f t="shared" si="12"/>
        <v>1.6129372783181491E-2</v>
      </c>
      <c r="G24" s="1"/>
      <c r="H24" s="1">
        <f>SUM(OSRRefH22_0x_0)</f>
        <v>4071.8681815384607</v>
      </c>
      <c r="I24" s="1"/>
      <c r="J24" s="5">
        <f t="shared" si="13"/>
        <v>0.14618611982259139</v>
      </c>
      <c r="K24" s="1"/>
      <c r="L24" s="1">
        <f t="shared" si="14"/>
        <v>-3812.1181815384607</v>
      </c>
      <c r="M24" s="1"/>
      <c r="N24" s="5">
        <f t="shared" si="15"/>
        <v>-0.93620864222037281</v>
      </c>
      <c r="O24" s="14"/>
      <c r="P24" s="1">
        <f>SUM(OSRRefP22_0x_0)</f>
        <v>459.2</v>
      </c>
      <c r="Q24" s="1"/>
      <c r="R24" s="5">
        <f t="shared" si="16"/>
        <v>2.0283626228248221E-2</v>
      </c>
      <c r="S24" s="1"/>
      <c r="T24" s="1">
        <f>SUM(OSRRefT22_0x_0)</f>
        <v>11527.063289999998</v>
      </c>
      <c r="U24" s="1"/>
      <c r="V24" s="5">
        <f t="shared" si="17"/>
        <v>0.3215538744141932</v>
      </c>
      <c r="W24" s="1"/>
      <c r="X24" s="1">
        <f t="shared" si="18"/>
        <v>-11067.863289999998</v>
      </c>
      <c r="Y24" s="1"/>
      <c r="Z24" s="5">
        <f t="shared" si="19"/>
        <v>-0.9601633140681749</v>
      </c>
    </row>
    <row r="25" spans="1:26" s="24" customFormat="1" hidden="1" outlineLevel="2" x14ac:dyDescent="0.25">
      <c r="A25" s="29"/>
      <c r="B25" s="11" t="str">
        <f>CONCATENATE("          ", "6111", " - ", "F.I.C.A.")</f>
        <v xml:space="preserve">          6111 - F.I.C.A.</v>
      </c>
      <c r="C25" s="11"/>
      <c r="D25" s="7">
        <v>163.55000000000001</v>
      </c>
      <c r="E25" s="2"/>
      <c r="F25" s="6">
        <f t="shared" si="12"/>
        <v>1.0155760995916583E-2</v>
      </c>
      <c r="G25" s="2"/>
      <c r="H25" s="7">
        <v>478.08879692307698</v>
      </c>
      <c r="I25" s="2"/>
      <c r="J25" s="6">
        <f t="shared" si="13"/>
        <v>1.7164098403212355E-2</v>
      </c>
      <c r="K25" s="2"/>
      <c r="L25" s="7">
        <f t="shared" si="14"/>
        <v>-314.53879692307697</v>
      </c>
      <c r="M25" s="2"/>
      <c r="N25" s="6">
        <f t="shared" si="15"/>
        <v>-0.65790873776464021</v>
      </c>
      <c r="O25" s="11"/>
      <c r="P25" s="7">
        <v>324.76</v>
      </c>
      <c r="Q25" s="2"/>
      <c r="R25" s="6">
        <f t="shared" si="16"/>
        <v>1.4345188270657431E-2</v>
      </c>
      <c r="S25" s="2"/>
      <c r="T25" s="7">
        <v>1354.04529</v>
      </c>
      <c r="U25" s="2"/>
      <c r="V25" s="6">
        <f t="shared" si="17"/>
        <v>3.7771850312430265E-2</v>
      </c>
      <c r="W25" s="2"/>
      <c r="X25" s="7">
        <f t="shared" si="18"/>
        <v>-1029.28529</v>
      </c>
      <c r="Y25" s="2"/>
      <c r="Z25" s="6">
        <f t="shared" si="19"/>
        <v>-0.7601557330478953</v>
      </c>
    </row>
    <row r="26" spans="1:26" s="24" customFormat="1" hidden="1" outlineLevel="2" x14ac:dyDescent="0.25">
      <c r="A26" s="29"/>
      <c r="B26" s="11" t="str">
        <f>CONCATENATE("          ", "6112", " - ", "COMPENSATION INSURANCE")</f>
        <v xml:space="preserve">          6112 - COMPENSATION INSURANCE</v>
      </c>
      <c r="C26" s="11"/>
      <c r="D26" s="7">
        <v>83.23</v>
      </c>
      <c r="E26" s="2"/>
      <c r="F26" s="6">
        <f t="shared" si="12"/>
        <v>5.1682298238467581E-3</v>
      </c>
      <c r="G26" s="2"/>
      <c r="H26" s="7">
        <v>484.55441538461503</v>
      </c>
      <c r="I26" s="2"/>
      <c r="J26" s="6">
        <f t="shared" si="13"/>
        <v>1.7396223715969522E-2</v>
      </c>
      <c r="K26" s="2"/>
      <c r="L26" s="7">
        <f t="shared" si="14"/>
        <v>-401.32441538461501</v>
      </c>
      <c r="M26" s="2"/>
      <c r="N26" s="6">
        <f t="shared" si="15"/>
        <v>-0.82823394575006359</v>
      </c>
      <c r="O26" s="11"/>
      <c r="P26" s="7">
        <v>115.76</v>
      </c>
      <c r="Q26" s="2"/>
      <c r="R26" s="6">
        <f t="shared" si="16"/>
        <v>5.1133113505705879E-3</v>
      </c>
      <c r="S26" s="2"/>
      <c r="T26" s="7">
        <v>1026.5972999999999</v>
      </c>
      <c r="U26" s="2"/>
      <c r="V26" s="6">
        <f t="shared" si="17"/>
        <v>2.8637505579111804E-2</v>
      </c>
      <c r="W26" s="2"/>
      <c r="X26" s="7">
        <f t="shared" si="18"/>
        <v>-910.83729999999991</v>
      </c>
      <c r="Y26" s="2"/>
      <c r="Z26" s="6">
        <f t="shared" si="19"/>
        <v>-0.88723913456620229</v>
      </c>
    </row>
    <row r="27" spans="1:26" s="24" customFormat="1" hidden="1" outlineLevel="2" x14ac:dyDescent="0.25">
      <c r="A27" s="29"/>
      <c r="B27" s="11" t="str">
        <f>CONCATENATE("          ", "6113", " - ", "GROUP INSURANCE")</f>
        <v xml:space="preserve">          6113 - GROUP INSURANCE</v>
      </c>
      <c r="C27" s="11"/>
      <c r="D27" s="7"/>
      <c r="E27" s="2"/>
      <c r="F27" s="6">
        <f t="shared" si="12"/>
        <v>0</v>
      </c>
      <c r="G27" s="2"/>
      <c r="H27" s="7">
        <v>1977</v>
      </c>
      <c r="I27" s="2"/>
      <c r="J27" s="6">
        <f t="shared" si="13"/>
        <v>7.0977238457672148E-2</v>
      </c>
      <c r="K27" s="2"/>
      <c r="L27" s="7">
        <f t="shared" si="14"/>
        <v>-1977</v>
      </c>
      <c r="M27" s="2"/>
      <c r="N27" s="6">
        <f t="shared" si="15"/>
        <v>-1</v>
      </c>
      <c r="O27" s="11"/>
      <c r="P27" s="7"/>
      <c r="Q27" s="2"/>
      <c r="R27" s="6">
        <f t="shared" si="16"/>
        <v>0</v>
      </c>
      <c r="S27" s="2"/>
      <c r="T27" s="7">
        <v>5931</v>
      </c>
      <c r="U27" s="2"/>
      <c r="V27" s="6">
        <f t="shared" si="17"/>
        <v>0.16544856058915422</v>
      </c>
      <c r="W27" s="2"/>
      <c r="X27" s="7">
        <f t="shared" si="18"/>
        <v>-5931</v>
      </c>
      <c r="Y27" s="2"/>
      <c r="Z27" s="6">
        <f t="shared" si="19"/>
        <v>-1</v>
      </c>
    </row>
    <row r="28" spans="1:26" s="24" customFormat="1" hidden="1" outlineLevel="2" x14ac:dyDescent="0.25">
      <c r="A28" s="29"/>
      <c r="B28" s="11" t="str">
        <f>CONCATENATE("          ", "6114", " - ", "STATE UNEMPLOYMENT INSURANCE")</f>
        <v xml:space="preserve">          6114 - STATE UNEMPLOYMENT INSURANCE</v>
      </c>
      <c r="C28" s="11"/>
      <c r="D28" s="7">
        <v>12.97</v>
      </c>
      <c r="E28" s="2"/>
      <c r="F28" s="6">
        <f t="shared" si="12"/>
        <v>8.0538196341814786E-4</v>
      </c>
      <c r="G28" s="2"/>
      <c r="H28" s="7">
        <v>26.848661538461499</v>
      </c>
      <c r="I28" s="2"/>
      <c r="J28" s="6">
        <f t="shared" si="13"/>
        <v>9.6390685497456375E-4</v>
      </c>
      <c r="K28" s="2"/>
      <c r="L28" s="7">
        <f t="shared" si="14"/>
        <v>-13.878661538461499</v>
      </c>
      <c r="M28" s="2"/>
      <c r="N28" s="6">
        <f t="shared" si="15"/>
        <v>-0.51692191503028584</v>
      </c>
      <c r="O28" s="11"/>
      <c r="P28" s="7">
        <v>18.68</v>
      </c>
      <c r="Q28" s="2"/>
      <c r="R28" s="6">
        <f t="shared" si="16"/>
        <v>8.2512660702020204E-4</v>
      </c>
      <c r="S28" s="2"/>
      <c r="T28" s="7">
        <v>56.8826999999999</v>
      </c>
      <c r="U28" s="2"/>
      <c r="V28" s="6">
        <f t="shared" si="17"/>
        <v>1.5867747154652951E-3</v>
      </c>
      <c r="W28" s="2"/>
      <c r="X28" s="7">
        <f t="shared" si="18"/>
        <v>-38.202699999999901</v>
      </c>
      <c r="Y28" s="2"/>
      <c r="Z28" s="6">
        <f t="shared" si="19"/>
        <v>-0.67160489920485433</v>
      </c>
    </row>
    <row r="29" spans="1:26" s="24" customFormat="1" hidden="1" outlineLevel="2" x14ac:dyDescent="0.25">
      <c r="A29" s="29"/>
      <c r="B29" s="11" t="str">
        <f>CONCATENATE("          ", "6115", " - ", "P.E.R.S.")</f>
        <v xml:space="preserve">          6115 - P.E.R.S.</v>
      </c>
      <c r="C29" s="11"/>
      <c r="D29" s="7"/>
      <c r="E29" s="2"/>
      <c r="F29" s="6">
        <f t="shared" si="12"/>
        <v>0</v>
      </c>
      <c r="G29" s="2"/>
      <c r="H29" s="7">
        <v>397.928615384615</v>
      </c>
      <c r="I29" s="2"/>
      <c r="J29" s="6">
        <f t="shared" si="13"/>
        <v>1.4286228742177604E-2</v>
      </c>
      <c r="K29" s="2"/>
      <c r="L29" s="7">
        <f t="shared" si="14"/>
        <v>-397.928615384615</v>
      </c>
      <c r="M29" s="2"/>
      <c r="N29" s="6">
        <f t="shared" si="15"/>
        <v>-1</v>
      </c>
      <c r="O29" s="11"/>
      <c r="P29" s="7"/>
      <c r="Q29" s="2"/>
      <c r="R29" s="6">
        <f t="shared" si="16"/>
        <v>0</v>
      </c>
      <c r="S29" s="2"/>
      <c r="T29" s="7">
        <v>1293.268</v>
      </c>
      <c r="U29" s="2"/>
      <c r="V29" s="6">
        <f t="shared" si="17"/>
        <v>3.6076433831733992E-2</v>
      </c>
      <c r="W29" s="2"/>
      <c r="X29" s="7">
        <f t="shared" si="18"/>
        <v>-1293.268</v>
      </c>
      <c r="Y29" s="2"/>
      <c r="Z29" s="6">
        <f t="shared" si="19"/>
        <v>-1</v>
      </c>
    </row>
    <row r="30" spans="1:26" s="24" customFormat="1" hidden="1" outlineLevel="2" x14ac:dyDescent="0.25">
      <c r="A30" s="29"/>
      <c r="B30" s="11" t="str">
        <f>CONCATENATE("          ", "6116", " - ", "EDUCATIONAL BENEFITS")</f>
        <v xml:space="preserve">          6116 - EDUCATIONAL BENEFITS</v>
      </c>
      <c r="C30" s="11"/>
      <c r="D30" s="7"/>
      <c r="E30" s="2"/>
      <c r="F30" s="6">
        <f t="shared" si="12"/>
        <v>0</v>
      </c>
      <c r="G30" s="2"/>
      <c r="H30" s="7">
        <v>0</v>
      </c>
      <c r="I30" s="2"/>
      <c r="J30" s="6">
        <f t="shared" si="13"/>
        <v>0</v>
      </c>
      <c r="K30" s="2"/>
      <c r="L30" s="7">
        <f t="shared" si="14"/>
        <v>0</v>
      </c>
      <c r="M30" s="2"/>
      <c r="N30" s="6">
        <f t="shared" si="15"/>
        <v>0</v>
      </c>
      <c r="O30" s="11"/>
      <c r="P30" s="7"/>
      <c r="Q30" s="2"/>
      <c r="R30" s="6">
        <f t="shared" si="16"/>
        <v>0</v>
      </c>
      <c r="S30" s="2"/>
      <c r="T30" s="7">
        <v>0</v>
      </c>
      <c r="U30" s="2"/>
      <c r="V30" s="6">
        <f t="shared" si="17"/>
        <v>0</v>
      </c>
      <c r="W30" s="2"/>
      <c r="X30" s="7">
        <f t="shared" si="18"/>
        <v>0</v>
      </c>
      <c r="Y30" s="2"/>
      <c r="Z30" s="6">
        <f t="shared" si="19"/>
        <v>0</v>
      </c>
    </row>
    <row r="31" spans="1:26" s="24" customFormat="1" hidden="1" outlineLevel="2" x14ac:dyDescent="0.25">
      <c r="A31" s="29"/>
      <c r="B31" s="11" t="str">
        <f>CONCATENATE("          ", "6118", " - ", "VACATION")</f>
        <v xml:space="preserve">          6118 - VACATION</v>
      </c>
      <c r="C31" s="11"/>
      <c r="D31" s="7"/>
      <c r="E31" s="2"/>
      <c r="F31" s="6">
        <f t="shared" si="12"/>
        <v>0</v>
      </c>
      <c r="G31" s="2"/>
      <c r="H31" s="7">
        <v>231.35384615384601</v>
      </c>
      <c r="I31" s="2"/>
      <c r="J31" s="6">
        <f t="shared" si="13"/>
        <v>8.3059469431265177E-3</v>
      </c>
      <c r="K31" s="2"/>
      <c r="L31" s="7">
        <f t="shared" si="14"/>
        <v>-231.35384615384601</v>
      </c>
      <c r="M31" s="2"/>
      <c r="N31" s="6">
        <f t="shared" si="15"/>
        <v>-1</v>
      </c>
      <c r="O31" s="11"/>
      <c r="P31" s="7"/>
      <c r="Q31" s="2"/>
      <c r="R31" s="6">
        <f t="shared" si="16"/>
        <v>0</v>
      </c>
      <c r="S31" s="2"/>
      <c r="T31" s="7">
        <v>751.9</v>
      </c>
      <c r="U31" s="2"/>
      <c r="V31" s="6">
        <f t="shared" si="17"/>
        <v>2.097467083240348E-2</v>
      </c>
      <c r="W31" s="2"/>
      <c r="X31" s="7">
        <f t="shared" si="18"/>
        <v>-751.9</v>
      </c>
      <c r="Y31" s="2"/>
      <c r="Z31" s="6">
        <f t="shared" si="19"/>
        <v>-1</v>
      </c>
    </row>
    <row r="32" spans="1:26" s="24" customFormat="1" hidden="1" outlineLevel="2" x14ac:dyDescent="0.25">
      <c r="A32" s="29"/>
      <c r="B32" s="11" t="str">
        <f>CONCATENATE("          ", "6119", " - ", "SICK LEAVE")</f>
        <v xml:space="preserve">          6119 - SICK LEAVE</v>
      </c>
      <c r="C32" s="11"/>
      <c r="D32" s="7"/>
      <c r="E32" s="2"/>
      <c r="F32" s="6">
        <f t="shared" si="12"/>
        <v>0</v>
      </c>
      <c r="G32" s="2"/>
      <c r="H32" s="7">
        <v>476.09384615384602</v>
      </c>
      <c r="I32" s="2"/>
      <c r="J32" s="6">
        <f t="shared" si="13"/>
        <v>1.7092476705458676E-2</v>
      </c>
      <c r="K32" s="2"/>
      <c r="L32" s="7">
        <f t="shared" si="14"/>
        <v>-476.09384615384602</v>
      </c>
      <c r="M32" s="2"/>
      <c r="N32" s="6">
        <f t="shared" si="15"/>
        <v>-1</v>
      </c>
      <c r="O32" s="11"/>
      <c r="P32" s="7"/>
      <c r="Q32" s="2"/>
      <c r="R32" s="6">
        <f t="shared" si="16"/>
        <v>0</v>
      </c>
      <c r="S32" s="2"/>
      <c r="T32" s="7">
        <v>1113.3699999999999</v>
      </c>
      <c r="U32" s="2"/>
      <c r="V32" s="6">
        <f t="shared" si="17"/>
        <v>3.1058078553894218E-2</v>
      </c>
      <c r="W32" s="2"/>
      <c r="X32" s="7">
        <f t="shared" si="18"/>
        <v>-1113.3699999999999</v>
      </c>
      <c r="Y32" s="2"/>
      <c r="Z32" s="6">
        <f t="shared" si="19"/>
        <v>-1</v>
      </c>
    </row>
    <row r="33" spans="1:26" s="28" customFormat="1" outlineLevel="1" collapsed="1" x14ac:dyDescent="0.25">
      <c r="A33" s="27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4434.13</v>
      </c>
      <c r="E33" s="1"/>
      <c r="F33" s="5">
        <f t="shared" ref="F33:F43" si="20">IF(D$12=0,0,D33/D$12)</f>
        <v>0.27534065732084134</v>
      </c>
      <c r="G33" s="1"/>
      <c r="H33" s="1">
        <f>SUM(OSRRefH22_1x_0)</f>
        <v>12077.629230769231</v>
      </c>
      <c r="I33" s="1"/>
      <c r="J33" s="5">
        <f t="shared" ref="J33:J43" si="21">IF(H$12=0,0,H33/H$12)</f>
        <v>0.43360484062501725</v>
      </c>
      <c r="K33" s="1"/>
      <c r="L33" s="1">
        <f t="shared" ref="L33:L43" si="22">+D33-H33</f>
        <v>-7643.499230769231</v>
      </c>
      <c r="M33" s="1"/>
      <c r="N33" s="5">
        <f t="shared" ref="N33:N43" si="23">IF(H33=0,0,L33/H33)</f>
        <v>-0.63286420577446489</v>
      </c>
      <c r="O33" s="14"/>
      <c r="P33" s="1">
        <f>SUM(OSRRefP22_1x_0)</f>
        <v>7970.49</v>
      </c>
      <c r="Q33" s="1"/>
      <c r="R33" s="5">
        <f t="shared" ref="R33:R43" si="24">IF(P$12=0,0,P33/P$12)</f>
        <v>0.35206977355398555</v>
      </c>
      <c r="S33" s="1"/>
      <c r="T33" s="1">
        <f>SUM(OSRRefT22_1x_0)</f>
        <v>25221.730000000003</v>
      </c>
      <c r="U33" s="1"/>
      <c r="V33" s="5">
        <f t="shared" ref="V33:V43" si="25">IF(T$12=0,0,T33/T$12)</f>
        <v>0.70357425797813</v>
      </c>
      <c r="W33" s="1"/>
      <c r="X33" s="1">
        <f t="shared" ref="X33:X43" si="26">+P33-T33</f>
        <v>-17251.240000000005</v>
      </c>
      <c r="Y33" s="1"/>
      <c r="Z33" s="5">
        <f t="shared" ref="Z33:Z43" si="27">IF(T33=0,0,X33/T33)</f>
        <v>-0.68398321606011969</v>
      </c>
    </row>
    <row r="34" spans="1:26" s="24" customFormat="1" hidden="1" outlineLevel="2" x14ac:dyDescent="0.25">
      <c r="A34" s="29"/>
      <c r="B34" s="11" t="str">
        <f>CONCATENATE("          ", "6001", " - ", "ADMINISTRATIVE SALARIES")</f>
        <v xml:space="preserve">          6001 - ADMINISTRATIVE SALARIES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/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0</v>
      </c>
      <c r="Y34" s="2"/>
      <c r="Z34" s="6">
        <f t="shared" si="27"/>
        <v>0</v>
      </c>
    </row>
    <row r="35" spans="1:26" s="24" customFormat="1" hidden="1" outlineLevel="2" x14ac:dyDescent="0.25">
      <c r="A35" s="29"/>
      <c r="B35" s="11" t="str">
        <f>CONCATENATE("          ", "6002", " - ", "STAFF SALARIES")</f>
        <v xml:space="preserve">          6002 - STAFF SALARIES</v>
      </c>
      <c r="C35" s="11"/>
      <c r="D35" s="7"/>
      <c r="E35" s="2"/>
      <c r="F35" s="6">
        <f t="shared" si="20"/>
        <v>0</v>
      </c>
      <c r="G35" s="2"/>
      <c r="H35" s="7">
        <v>4164.3692307692299</v>
      </c>
      <c r="I35" s="2"/>
      <c r="J35" s="6">
        <f t="shared" si="21"/>
        <v>0.14950704497627737</v>
      </c>
      <c r="K35" s="2"/>
      <c r="L35" s="7">
        <f t="shared" si="22"/>
        <v>-4164.3692307692299</v>
      </c>
      <c r="M35" s="2"/>
      <c r="N35" s="6">
        <f t="shared" si="23"/>
        <v>-1</v>
      </c>
      <c r="O35" s="11"/>
      <c r="P35" s="7"/>
      <c r="Q35" s="2"/>
      <c r="R35" s="6">
        <f t="shared" si="24"/>
        <v>0</v>
      </c>
      <c r="S35" s="2"/>
      <c r="T35" s="7">
        <v>13534.2</v>
      </c>
      <c r="U35" s="2"/>
      <c r="V35" s="6">
        <f t="shared" si="25"/>
        <v>0.3775440749832627</v>
      </c>
      <c r="W35" s="2"/>
      <c r="X35" s="7">
        <f t="shared" si="26"/>
        <v>-13534.2</v>
      </c>
      <c r="Y35" s="2"/>
      <c r="Z35" s="6">
        <f t="shared" si="27"/>
        <v>-1</v>
      </c>
    </row>
    <row r="36" spans="1:26" s="24" customFormat="1" hidden="1" outlineLevel="2" x14ac:dyDescent="0.25">
      <c r="A36" s="29"/>
      <c r="B36" s="11" t="str">
        <f>CONCATENATE("          ", "6003", " - ", "STAFF HOURLY-9 MONTH")</f>
        <v xml:space="preserve">          6003 - STAFF HOURLY-9 MONTH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9"/>
      <c r="B37" s="11" t="str">
        <f>CONCATENATE("          ", "6004", " - ", "STAFF HOURLY")</f>
        <v xml:space="preserve">          6004 - STAFF HOURLY</v>
      </c>
      <c r="C37" s="11"/>
      <c r="D37" s="7"/>
      <c r="E37" s="2"/>
      <c r="F37" s="6">
        <f t="shared" si="20"/>
        <v>0</v>
      </c>
      <c r="G37" s="2"/>
      <c r="H37" s="7">
        <v>1571.4</v>
      </c>
      <c r="I37" s="2"/>
      <c r="J37" s="6">
        <f t="shared" si="21"/>
        <v>5.6415595605658078E-2</v>
      </c>
      <c r="K37" s="2"/>
      <c r="L37" s="7">
        <f t="shared" si="22"/>
        <v>-1571.4</v>
      </c>
      <c r="M37" s="2"/>
      <c r="N37" s="6">
        <f t="shared" si="23"/>
        <v>-1</v>
      </c>
      <c r="O37" s="11"/>
      <c r="P37" s="7"/>
      <c r="Q37" s="2"/>
      <c r="R37" s="6">
        <f t="shared" si="24"/>
        <v>0</v>
      </c>
      <c r="S37" s="2"/>
      <c r="T37" s="7">
        <v>2575.35</v>
      </c>
      <c r="U37" s="2"/>
      <c r="V37" s="6">
        <f t="shared" si="25"/>
        <v>7.184082794019192E-2</v>
      </c>
      <c r="W37" s="2"/>
      <c r="X37" s="7">
        <f t="shared" si="26"/>
        <v>-2575.35</v>
      </c>
      <c r="Y37" s="2"/>
      <c r="Z37" s="6">
        <f t="shared" si="27"/>
        <v>-1</v>
      </c>
    </row>
    <row r="38" spans="1:26" s="24" customFormat="1" hidden="1" outlineLevel="2" x14ac:dyDescent="0.25">
      <c r="A38" s="29"/>
      <c r="B38" s="11" t="str">
        <f>CONCATENATE("          ", "6005", " - ", "TEMPORARY WAGES-HOURLY")</f>
        <v xml:space="preserve">          6005 - TEMPORARY WAGES-HOURLY</v>
      </c>
      <c r="C38" s="11"/>
      <c r="D38" s="7">
        <v>2137.8000000000002</v>
      </c>
      <c r="E38" s="2"/>
      <c r="F38" s="6">
        <f t="shared" si="20"/>
        <v>0.13274830851158956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2137.8000000000002</v>
      </c>
      <c r="M38" s="2"/>
      <c r="N38" s="6">
        <f t="shared" si="23"/>
        <v>0</v>
      </c>
      <c r="O38" s="11"/>
      <c r="P38" s="7">
        <v>3396.6</v>
      </c>
      <c r="Q38" s="2"/>
      <c r="R38" s="6">
        <f t="shared" si="24"/>
        <v>0.15003346003237783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3396.6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"6006", " - ", "TEMPORARY PART TIME")</f>
        <v xml:space="preserve">          6006 - TEMPORARY PART TIME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9"/>
      <c r="B40" s="11" t="str">
        <f>CONCATENATE("          ", "6007", " - ", "STUDENT HOURLY")</f>
        <v xml:space="preserve">          6007 - STUDENT HOURLY</v>
      </c>
      <c r="C40" s="11"/>
      <c r="D40" s="7">
        <v>2296.33</v>
      </c>
      <c r="E40" s="2"/>
      <c r="F40" s="6">
        <f t="shared" si="20"/>
        <v>0.14259234880925176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2296.33</v>
      </c>
      <c r="M40" s="2"/>
      <c r="N40" s="6">
        <f t="shared" si="23"/>
        <v>0</v>
      </c>
      <c r="O40" s="11"/>
      <c r="P40" s="7">
        <v>4573.8900000000003</v>
      </c>
      <c r="Q40" s="2"/>
      <c r="R40" s="6">
        <f t="shared" si="24"/>
        <v>0.20203631352160772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4573.8900000000003</v>
      </c>
      <c r="Y40" s="2"/>
      <c r="Z40" s="6">
        <f t="shared" si="27"/>
        <v>0</v>
      </c>
    </row>
    <row r="41" spans="1:26" s="24" customFormat="1" hidden="1" outlineLevel="2" x14ac:dyDescent="0.25">
      <c r="A41" s="29"/>
      <c r="B41" s="11" t="str">
        <f>CONCATENATE("          ", "6008", " - ", "STUDENT HOURLY-FICA EXEMPT")</f>
        <v xml:space="preserve">          6008 - STUDENT HOURLY-FICA EXEMPT</v>
      </c>
      <c r="C41" s="11"/>
      <c r="D41" s="7"/>
      <c r="E41" s="2"/>
      <c r="F41" s="6">
        <f t="shared" si="20"/>
        <v>0</v>
      </c>
      <c r="G41" s="2"/>
      <c r="H41" s="7">
        <v>6341.86</v>
      </c>
      <c r="I41" s="2"/>
      <c r="J41" s="6">
        <f t="shared" si="21"/>
        <v>0.22768220004308176</v>
      </c>
      <c r="K41" s="2"/>
      <c r="L41" s="7">
        <f t="shared" si="22"/>
        <v>-6341.86</v>
      </c>
      <c r="M41" s="2"/>
      <c r="N41" s="6">
        <f t="shared" si="23"/>
        <v>-1</v>
      </c>
      <c r="O41" s="11"/>
      <c r="P41" s="7"/>
      <c r="Q41" s="2"/>
      <c r="R41" s="6">
        <f t="shared" si="24"/>
        <v>0</v>
      </c>
      <c r="S41" s="2"/>
      <c r="T41" s="7">
        <v>9112.18</v>
      </c>
      <c r="U41" s="2"/>
      <c r="V41" s="6">
        <f t="shared" si="25"/>
        <v>0.25418935505467533</v>
      </c>
      <c r="W41" s="2"/>
      <c r="X41" s="7">
        <f t="shared" si="26"/>
        <v>-9112.18</v>
      </c>
      <c r="Y41" s="2"/>
      <c r="Z41" s="6">
        <f t="shared" si="27"/>
        <v>-1</v>
      </c>
    </row>
    <row r="42" spans="1:26" s="24" customFormat="1" hidden="1" outlineLevel="2" x14ac:dyDescent="0.25">
      <c r="A42" s="29"/>
      <c r="B42" s="11" t="str">
        <f>CONCATENATE("          ", "6009", " - ", "TEMPORARY-SEASONAL")</f>
        <v xml:space="preserve">          6009 - TEMPORARY-SEASONAL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9"/>
      <c r="B43" s="11" t="str">
        <f>CONCATENATE("          ", "6010", " - ", "GRATUITY")</f>
        <v xml:space="preserve">          6010 - GRATUITY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8" customFormat="1" outlineLevel="1" collapsed="1" x14ac:dyDescent="0.25">
      <c r="A44" s="27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52" si="28">IF(D$12=0,0,D44/D$12)</f>
        <v>0</v>
      </c>
      <c r="G44" s="1"/>
      <c r="H44" s="1">
        <f>SUM(OSRRefH22_2x_0)</f>
        <v>0</v>
      </c>
      <c r="I44" s="1"/>
      <c r="J44" s="5">
        <f t="shared" ref="J44:J52" si="29">IF(H$12=0,0,H44/H$12)</f>
        <v>0</v>
      </c>
      <c r="K44" s="1"/>
      <c r="L44" s="1">
        <f t="shared" ref="L44:L52" si="30">+D44-H44</f>
        <v>0</v>
      </c>
      <c r="M44" s="1"/>
      <c r="N44" s="5">
        <f t="shared" ref="N44:N52" si="31">IF(H44=0,0,L44/H44)</f>
        <v>0</v>
      </c>
      <c r="O44" s="14"/>
      <c r="P44" s="1">
        <f>SUM(OSRRefP22_2x_0)</f>
        <v>87.97</v>
      </c>
      <c r="Q44" s="1"/>
      <c r="R44" s="5">
        <f t="shared" ref="R44:R52" si="32">IF(P$12=0,0,P44/P$12)</f>
        <v>3.8857809218183709E-3</v>
      </c>
      <c r="S44" s="1"/>
      <c r="T44" s="1">
        <f>SUM(OSRRefT22_2x_0)</f>
        <v>0</v>
      </c>
      <c r="U44" s="1"/>
      <c r="V44" s="5">
        <f t="shared" ref="V44:V52" si="33">IF(T$12=0,0,T44/T$12)</f>
        <v>0</v>
      </c>
      <c r="W44" s="1"/>
      <c r="X44" s="1">
        <f t="shared" ref="X44:X52" si="34">+P44-T44</f>
        <v>87.97</v>
      </c>
      <c r="Y44" s="1"/>
      <c r="Z44" s="5">
        <f t="shared" ref="Z44:Z52" si="35">IF(T44=0,0,X44/T44)</f>
        <v>0</v>
      </c>
    </row>
    <row r="45" spans="1:26" s="24" customFormat="1" hidden="1" outlineLevel="2" x14ac:dyDescent="0.25">
      <c r="A45" s="29"/>
      <c r="B45" s="11" t="str">
        <f>CONCATENATE("          ", "6362", " - ", "ADVERTISING EXPENSE")</f>
        <v xml:space="preserve">          6362 - ADVERTISING EXPENSE</v>
      </c>
      <c r="C45" s="11"/>
      <c r="D45" s="7"/>
      <c r="E45" s="2"/>
      <c r="F45" s="6">
        <f t="shared" si="28"/>
        <v>0</v>
      </c>
      <c r="G45" s="2"/>
      <c r="H45" s="7"/>
      <c r="I45" s="2"/>
      <c r="J45" s="6">
        <f t="shared" si="29"/>
        <v>0</v>
      </c>
      <c r="K45" s="2"/>
      <c r="L45" s="7">
        <f t="shared" si="30"/>
        <v>0</v>
      </c>
      <c r="M45" s="2"/>
      <c r="N45" s="6">
        <f t="shared" si="31"/>
        <v>0</v>
      </c>
      <c r="O45" s="11"/>
      <c r="P45" s="7">
        <v>87.97</v>
      </c>
      <c r="Q45" s="2"/>
      <c r="R45" s="6">
        <f t="shared" si="32"/>
        <v>3.8857809218183709E-3</v>
      </c>
      <c r="S45" s="2"/>
      <c r="T45" s="7"/>
      <c r="U45" s="2"/>
      <c r="V45" s="6">
        <f t="shared" si="33"/>
        <v>0</v>
      </c>
      <c r="W45" s="2"/>
      <c r="X45" s="7">
        <f t="shared" si="34"/>
        <v>87.97</v>
      </c>
      <c r="Y45" s="2"/>
      <c r="Z45" s="6">
        <f t="shared" si="35"/>
        <v>0</v>
      </c>
    </row>
    <row r="46" spans="1:26" s="28" customFormat="1" outlineLevel="1" collapsed="1" x14ac:dyDescent="0.25">
      <c r="A46" s="27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SUM(OSRRefD22_3x_0)</f>
        <v>15.79</v>
      </c>
      <c r="E46" s="1"/>
      <c r="F46" s="5">
        <f t="shared" si="28"/>
        <v>9.8049199709888631E-4</v>
      </c>
      <c r="G46" s="1"/>
      <c r="H46" s="1">
        <f>SUM(OSRRefH22_3x_0)</f>
        <v>0</v>
      </c>
      <c r="I46" s="1"/>
      <c r="J46" s="5">
        <f t="shared" si="29"/>
        <v>0</v>
      </c>
      <c r="K46" s="1"/>
      <c r="L46" s="1">
        <f t="shared" si="30"/>
        <v>15.79</v>
      </c>
      <c r="M46" s="1"/>
      <c r="N46" s="5">
        <f t="shared" si="31"/>
        <v>0</v>
      </c>
      <c r="O46" s="14"/>
      <c r="P46" s="1">
        <f>SUM(OSRRefP22_3x_0)</f>
        <v>14.49</v>
      </c>
      <c r="Q46" s="1"/>
      <c r="R46" s="5">
        <f t="shared" si="32"/>
        <v>6.4004735201941799E-4</v>
      </c>
      <c r="S46" s="1"/>
      <c r="T46" s="1">
        <f>SUM(OSRRefT22_3x_0)</f>
        <v>0</v>
      </c>
      <c r="U46" s="1"/>
      <c r="V46" s="5">
        <f t="shared" si="33"/>
        <v>0</v>
      </c>
      <c r="W46" s="1"/>
      <c r="X46" s="1">
        <f t="shared" si="34"/>
        <v>14.49</v>
      </c>
      <c r="Y46" s="1"/>
      <c r="Z46" s="5">
        <f t="shared" si="35"/>
        <v>0</v>
      </c>
    </row>
    <row r="47" spans="1:26" s="24" customFormat="1" hidden="1" outlineLevel="2" x14ac:dyDescent="0.25">
      <c r="A47" s="29"/>
      <c r="B47" s="11" t="str">
        <f>CONCATENATE("          ", "6272", " - ", "CASH (OVER/SHORT)")</f>
        <v xml:space="preserve">          6272 - CASH (OVER/SHORT)</v>
      </c>
      <c r="C47" s="11"/>
      <c r="D47" s="7">
        <v>15.79</v>
      </c>
      <c r="E47" s="2"/>
      <c r="F47" s="6">
        <f t="shared" si="28"/>
        <v>9.8049199709888631E-4</v>
      </c>
      <c r="G47" s="2"/>
      <c r="H47" s="7"/>
      <c r="I47" s="2"/>
      <c r="J47" s="6">
        <f t="shared" si="29"/>
        <v>0</v>
      </c>
      <c r="K47" s="2"/>
      <c r="L47" s="7">
        <f t="shared" si="30"/>
        <v>15.79</v>
      </c>
      <c r="M47" s="2"/>
      <c r="N47" s="6">
        <f t="shared" si="31"/>
        <v>0</v>
      </c>
      <c r="O47" s="11"/>
      <c r="P47" s="7">
        <v>14.49</v>
      </c>
      <c r="Q47" s="2"/>
      <c r="R47" s="6">
        <f t="shared" si="32"/>
        <v>6.4004735201941799E-4</v>
      </c>
      <c r="S47" s="2"/>
      <c r="T47" s="7">
        <v>0</v>
      </c>
      <c r="U47" s="2"/>
      <c r="V47" s="6">
        <f t="shared" si="33"/>
        <v>0</v>
      </c>
      <c r="W47" s="2"/>
      <c r="X47" s="7">
        <f t="shared" si="34"/>
        <v>14.49</v>
      </c>
      <c r="Y47" s="2"/>
      <c r="Z47" s="6">
        <f t="shared" si="35"/>
        <v>0</v>
      </c>
    </row>
    <row r="48" spans="1:26" s="28" customFormat="1" outlineLevel="1" collapsed="1" x14ac:dyDescent="0.25">
      <c r="A48" s="27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SUM(OSRRefD22_4x_0)</f>
        <v>769.35</v>
      </c>
      <c r="E48" s="1"/>
      <c r="F48" s="5">
        <f t="shared" si="28"/>
        <v>4.7773370358963153E-2</v>
      </c>
      <c r="G48" s="1"/>
      <c r="H48" s="1">
        <f>SUM(OSRRefH22_4x_0)</f>
        <v>1196</v>
      </c>
      <c r="I48" s="1"/>
      <c r="J48" s="5">
        <f t="shared" si="29"/>
        <v>4.2938177640554319E-2</v>
      </c>
      <c r="K48" s="1"/>
      <c r="L48" s="1">
        <f t="shared" si="30"/>
        <v>-426.65</v>
      </c>
      <c r="M48" s="1"/>
      <c r="N48" s="5">
        <f t="shared" si="31"/>
        <v>-0.35673076923076918</v>
      </c>
      <c r="O48" s="14"/>
      <c r="P48" s="1">
        <f>SUM(OSRRefP22_4x_0)</f>
        <v>1088.9100000000001</v>
      </c>
      <c r="Q48" s="1"/>
      <c r="R48" s="5">
        <f t="shared" si="32"/>
        <v>4.8098962186850551E-2</v>
      </c>
      <c r="S48" s="1"/>
      <c r="T48" s="1">
        <f>SUM(OSRRefT22_4x_0)</f>
        <v>1503</v>
      </c>
      <c r="U48" s="1"/>
      <c r="V48" s="5">
        <f t="shared" si="33"/>
        <v>4.1927025217585359E-2</v>
      </c>
      <c r="W48" s="1"/>
      <c r="X48" s="1">
        <f t="shared" si="34"/>
        <v>-414.08999999999992</v>
      </c>
      <c r="Y48" s="1"/>
      <c r="Z48" s="5">
        <f t="shared" si="35"/>
        <v>-0.27550898203592811</v>
      </c>
    </row>
    <row r="49" spans="1:26" s="24" customFormat="1" hidden="1" outlineLevel="2" x14ac:dyDescent="0.25">
      <c r="A49" s="29"/>
      <c r="B49" s="11" t="str">
        <f>CONCATENATE("          ", "6381", " - ", "BANK/CREDIT CARD FEES")</f>
        <v xml:space="preserve">          6381 - BANK/CREDIT CARD FEES</v>
      </c>
      <c r="C49" s="11"/>
      <c r="D49" s="7">
        <v>769.35</v>
      </c>
      <c r="E49" s="2"/>
      <c r="F49" s="6">
        <f t="shared" si="28"/>
        <v>4.7773370358963153E-2</v>
      </c>
      <c r="G49" s="2"/>
      <c r="H49" s="7">
        <v>1196</v>
      </c>
      <c r="I49" s="2"/>
      <c r="J49" s="6">
        <f t="shared" si="29"/>
        <v>4.2938177640554319E-2</v>
      </c>
      <c r="K49" s="2"/>
      <c r="L49" s="7">
        <f t="shared" si="30"/>
        <v>-426.65</v>
      </c>
      <c r="M49" s="2"/>
      <c r="N49" s="6">
        <f t="shared" si="31"/>
        <v>-0.35673076923076918</v>
      </c>
      <c r="O49" s="11"/>
      <c r="P49" s="7">
        <v>1088.9100000000001</v>
      </c>
      <c r="Q49" s="2"/>
      <c r="R49" s="6">
        <f t="shared" si="32"/>
        <v>4.8098962186850551E-2</v>
      </c>
      <c r="S49" s="2"/>
      <c r="T49" s="7">
        <v>1503</v>
      </c>
      <c r="U49" s="2"/>
      <c r="V49" s="6">
        <f t="shared" si="33"/>
        <v>4.1927025217585359E-2</v>
      </c>
      <c r="W49" s="2"/>
      <c r="X49" s="7">
        <f t="shared" si="34"/>
        <v>-414.08999999999992</v>
      </c>
      <c r="Y49" s="2"/>
      <c r="Z49" s="6">
        <f t="shared" si="35"/>
        <v>-0.27550898203592811</v>
      </c>
    </row>
    <row r="50" spans="1:26" s="28" customFormat="1" outlineLevel="1" collapsed="1" x14ac:dyDescent="0.25">
      <c r="A50" s="27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SUM(OSRRefD22_5x_0)</f>
        <v>5471.21</v>
      </c>
      <c r="E50" s="1"/>
      <c r="F50" s="5">
        <f t="shared" si="28"/>
        <v>0.33973892460084848</v>
      </c>
      <c r="G50" s="1"/>
      <c r="H50" s="1">
        <f>SUM(OSRRefH22_5x_0)</f>
        <v>5471</v>
      </c>
      <c r="I50" s="1"/>
      <c r="J50" s="5">
        <f t="shared" si="29"/>
        <v>0.19641703166511093</v>
      </c>
      <c r="K50" s="1"/>
      <c r="L50" s="1">
        <f t="shared" si="30"/>
        <v>0.21000000000003638</v>
      </c>
      <c r="M50" s="1"/>
      <c r="N50" s="5">
        <f t="shared" si="31"/>
        <v>3.8384207640291792E-5</v>
      </c>
      <c r="O50" s="14"/>
      <c r="P50" s="1">
        <f>SUM(OSRRefP22_5x_0)</f>
        <v>16413.63</v>
      </c>
      <c r="Q50" s="1"/>
      <c r="R50" s="5">
        <f t="shared" si="32"/>
        <v>0.72501728216193784</v>
      </c>
      <c r="S50" s="1"/>
      <c r="T50" s="1">
        <f>SUM(OSRRefT22_5x_0)</f>
        <v>16413</v>
      </c>
      <c r="U50" s="1"/>
      <c r="V50" s="5">
        <f t="shared" si="33"/>
        <v>0.45784981031019861</v>
      </c>
      <c r="W50" s="1"/>
      <c r="X50" s="1">
        <f t="shared" si="34"/>
        <v>0.63000000000101863</v>
      </c>
      <c r="Y50" s="1"/>
      <c r="Z50" s="5">
        <f t="shared" si="35"/>
        <v>3.8384207640347201E-5</v>
      </c>
    </row>
    <row r="51" spans="1:26" s="24" customFormat="1" hidden="1" outlineLevel="2" x14ac:dyDescent="0.25">
      <c r="A51" s="29"/>
      <c r="B51" s="11" t="str">
        <f>CONCATENATE("          ", "6321", " - ", "BUILDING DEPRECIATION")</f>
        <v xml:space="preserve">          6321 - BUILDING DEPRECIATION</v>
      </c>
      <c r="C51" s="11"/>
      <c r="D51" s="7">
        <v>5080.51</v>
      </c>
      <c r="E51" s="2"/>
      <c r="F51" s="6">
        <f t="shared" si="28"/>
        <v>0.31547811248770508</v>
      </c>
      <c r="G51" s="2"/>
      <c r="H51" s="7"/>
      <c r="I51" s="2"/>
      <c r="J51" s="6">
        <f t="shared" si="29"/>
        <v>0</v>
      </c>
      <c r="K51" s="2"/>
      <c r="L51" s="7">
        <f t="shared" si="30"/>
        <v>5080.51</v>
      </c>
      <c r="M51" s="2"/>
      <c r="N51" s="6">
        <f t="shared" si="31"/>
        <v>0</v>
      </c>
      <c r="O51" s="11"/>
      <c r="P51" s="7">
        <v>15241.53</v>
      </c>
      <c r="Q51" s="2"/>
      <c r="R51" s="6">
        <f t="shared" si="32"/>
        <v>0.67324367958761355</v>
      </c>
      <c r="S51" s="2"/>
      <c r="T51" s="7"/>
      <c r="U51" s="2"/>
      <c r="V51" s="6">
        <f t="shared" si="33"/>
        <v>0</v>
      </c>
      <c r="W51" s="2"/>
      <c r="X51" s="7">
        <f t="shared" si="34"/>
        <v>15241.53</v>
      </c>
      <c r="Y51" s="2"/>
      <c r="Z51" s="6">
        <f t="shared" si="35"/>
        <v>0</v>
      </c>
    </row>
    <row r="52" spans="1:26" s="24" customFormat="1" hidden="1" outlineLevel="2" x14ac:dyDescent="0.25">
      <c r="A52" s="29"/>
      <c r="B52" s="11" t="str">
        <f>CONCATENATE("          ", "6322", " - ", "EQUIPMENT DEPRECIATION EXPENSE")</f>
        <v xml:space="preserve">          6322 - EQUIPMENT DEPRECIATION EXPENSE</v>
      </c>
      <c r="C52" s="11"/>
      <c r="D52" s="7">
        <v>390.7</v>
      </c>
      <c r="E52" s="2"/>
      <c r="F52" s="6">
        <f t="shared" si="28"/>
        <v>2.4260812113143435E-2</v>
      </c>
      <c r="G52" s="2"/>
      <c r="H52" s="7">
        <v>5471</v>
      </c>
      <c r="I52" s="2"/>
      <c r="J52" s="6">
        <f t="shared" si="29"/>
        <v>0.19641703166511093</v>
      </c>
      <c r="K52" s="2"/>
      <c r="L52" s="7">
        <f t="shared" si="30"/>
        <v>-5080.3</v>
      </c>
      <c r="M52" s="2"/>
      <c r="N52" s="6">
        <f t="shared" si="31"/>
        <v>-0.92858709559495523</v>
      </c>
      <c r="O52" s="11"/>
      <c r="P52" s="7">
        <v>1172.0999999999999</v>
      </c>
      <c r="Q52" s="2"/>
      <c r="R52" s="6">
        <f t="shared" si="32"/>
        <v>5.177360257432434E-2</v>
      </c>
      <c r="S52" s="2"/>
      <c r="T52" s="7">
        <v>16413</v>
      </c>
      <c r="U52" s="2"/>
      <c r="V52" s="6">
        <f t="shared" si="33"/>
        <v>0.45784981031019861</v>
      </c>
      <c r="W52" s="2"/>
      <c r="X52" s="7">
        <f t="shared" si="34"/>
        <v>-15240.9</v>
      </c>
      <c r="Y52" s="2"/>
      <c r="Z52" s="6">
        <f t="shared" si="35"/>
        <v>-0.92858709559495523</v>
      </c>
    </row>
    <row r="53" spans="1:26" s="28" customFormat="1" outlineLevel="1" collapsed="1" x14ac:dyDescent="0.25">
      <c r="A53" s="27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SUM(OSRRefD22_6x_0)</f>
        <v>0</v>
      </c>
      <c r="E53" s="1"/>
      <c r="F53" s="5">
        <f t="shared" ref="F53:F64" si="36">IF(D$12=0,0,D53/D$12)</f>
        <v>0</v>
      </c>
      <c r="G53" s="1"/>
      <c r="H53" s="1">
        <f>SUM(OSRRefH22_6x_0)</f>
        <v>176</v>
      </c>
      <c r="I53" s="1"/>
      <c r="J53" s="5">
        <f t="shared" ref="J53:J64" si="37">IF(H$12=0,0,H53/H$12)</f>
        <v>6.3186615925899334E-3</v>
      </c>
      <c r="K53" s="1"/>
      <c r="L53" s="1">
        <f t="shared" ref="L53:L64" si="38">+D53-H53</f>
        <v>-176</v>
      </c>
      <c r="M53" s="1"/>
      <c r="N53" s="5">
        <f t="shared" ref="N53:N64" si="39">IF(H53=0,0,L53/H53)</f>
        <v>-1</v>
      </c>
      <c r="O53" s="14"/>
      <c r="P53" s="1">
        <f>SUM(OSRRefP22_6x_0)</f>
        <v>0</v>
      </c>
      <c r="Q53" s="1"/>
      <c r="R53" s="5">
        <f t="shared" ref="R53:R64" si="40">IF(P$12=0,0,P53/P$12)</f>
        <v>0</v>
      </c>
      <c r="S53" s="1"/>
      <c r="T53" s="1">
        <f>SUM(OSRRefT22_6x_0)</f>
        <v>528</v>
      </c>
      <c r="U53" s="1"/>
      <c r="V53" s="5">
        <f t="shared" ref="V53:V64" si="41">IF(T$12=0,0,T53/T$12)</f>
        <v>1.4728855166257531E-2</v>
      </c>
      <c r="W53" s="1"/>
      <c r="X53" s="1">
        <f t="shared" ref="X53:X64" si="42">+P53-T53</f>
        <v>-528</v>
      </c>
      <c r="Y53" s="1"/>
      <c r="Z53" s="5">
        <f t="shared" ref="Z53:Z64" si="43">IF(T53=0,0,X53/T53)</f>
        <v>-1</v>
      </c>
    </row>
    <row r="54" spans="1:26" s="24" customFormat="1" hidden="1" outlineLevel="2" x14ac:dyDescent="0.25">
      <c r="A54" s="29"/>
      <c r="B54" s="11" t="str">
        <f>CONCATENATE("          ", "6351", " - ", "EQUIPMENT RENTAL")</f>
        <v xml:space="preserve">          6351 - EQUIPMENT RENTAL</v>
      </c>
      <c r="C54" s="11"/>
      <c r="D54" s="7"/>
      <c r="E54" s="2"/>
      <c r="F54" s="6">
        <f t="shared" si="36"/>
        <v>0</v>
      </c>
      <c r="G54" s="2"/>
      <c r="H54" s="7">
        <v>176</v>
      </c>
      <c r="I54" s="2"/>
      <c r="J54" s="6">
        <f t="shared" si="37"/>
        <v>6.3186615925899334E-3</v>
      </c>
      <c r="K54" s="2"/>
      <c r="L54" s="7">
        <f t="shared" si="38"/>
        <v>-176</v>
      </c>
      <c r="M54" s="2"/>
      <c r="N54" s="6">
        <f t="shared" si="39"/>
        <v>-1</v>
      </c>
      <c r="O54" s="11"/>
      <c r="P54" s="7"/>
      <c r="Q54" s="2"/>
      <c r="R54" s="6">
        <f t="shared" si="40"/>
        <v>0</v>
      </c>
      <c r="S54" s="2"/>
      <c r="T54" s="7">
        <v>528</v>
      </c>
      <c r="U54" s="2"/>
      <c r="V54" s="6">
        <f t="shared" si="41"/>
        <v>1.4728855166257531E-2</v>
      </c>
      <c r="W54" s="2"/>
      <c r="X54" s="7">
        <f t="shared" si="42"/>
        <v>-528</v>
      </c>
      <c r="Y54" s="2"/>
      <c r="Z54" s="6">
        <f t="shared" si="43"/>
        <v>-1</v>
      </c>
    </row>
    <row r="55" spans="1:26" s="28" customFormat="1" outlineLevel="1" collapsed="1" x14ac:dyDescent="0.25">
      <c r="A55" s="27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SUM(OSRRefD22_7x_0)</f>
        <v>0</v>
      </c>
      <c r="E55" s="1"/>
      <c r="F55" s="5">
        <f t="shared" si="36"/>
        <v>0</v>
      </c>
      <c r="G55" s="1"/>
      <c r="H55" s="1">
        <f>SUM(OSRRefH22_7x_0)</f>
        <v>0</v>
      </c>
      <c r="I55" s="1"/>
      <c r="J55" s="5">
        <f t="shared" si="37"/>
        <v>0</v>
      </c>
      <c r="K55" s="1"/>
      <c r="L55" s="1">
        <f t="shared" si="38"/>
        <v>0</v>
      </c>
      <c r="M55" s="1"/>
      <c r="N55" s="5">
        <f t="shared" si="39"/>
        <v>0</v>
      </c>
      <c r="O55" s="14"/>
      <c r="P55" s="1">
        <f>SUM(OSRRefP22_7x_0)</f>
        <v>842.45</v>
      </c>
      <c r="Q55" s="1"/>
      <c r="R55" s="5">
        <f t="shared" si="40"/>
        <v>3.7212414886732825E-2</v>
      </c>
      <c r="S55" s="1"/>
      <c r="T55" s="1">
        <f>SUM(OSRRefT22_7x_0)</f>
        <v>0</v>
      </c>
      <c r="U55" s="1"/>
      <c r="V55" s="5">
        <f t="shared" si="41"/>
        <v>0</v>
      </c>
      <c r="W55" s="1"/>
      <c r="X55" s="1">
        <f t="shared" si="42"/>
        <v>842.45</v>
      </c>
      <c r="Y55" s="1"/>
      <c r="Z55" s="5">
        <f t="shared" si="43"/>
        <v>0</v>
      </c>
    </row>
    <row r="56" spans="1:26" s="24" customFormat="1" hidden="1" outlineLevel="2" x14ac:dyDescent="0.25">
      <c r="A56" s="29"/>
      <c r="B56" s="11" t="str">
        <f>CONCATENATE("          ", "6279", " - ", "GENERAL EXPENSE")</f>
        <v xml:space="preserve">          6279 - GENERAL EXPENSE</v>
      </c>
      <c r="C56" s="11"/>
      <c r="D56" s="7"/>
      <c r="E56" s="2"/>
      <c r="F56" s="6">
        <f t="shared" si="36"/>
        <v>0</v>
      </c>
      <c r="G56" s="2"/>
      <c r="H56" s="7"/>
      <c r="I56" s="2"/>
      <c r="J56" s="6">
        <f t="shared" si="37"/>
        <v>0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>
        <v>842.45</v>
      </c>
      <c r="Q56" s="2"/>
      <c r="R56" s="6">
        <f t="shared" si="40"/>
        <v>3.7212414886732825E-2</v>
      </c>
      <c r="S56" s="2"/>
      <c r="T56" s="7"/>
      <c r="U56" s="2"/>
      <c r="V56" s="6">
        <f t="shared" si="41"/>
        <v>0</v>
      </c>
      <c r="W56" s="2"/>
      <c r="X56" s="7">
        <f t="shared" si="42"/>
        <v>842.45</v>
      </c>
      <c r="Y56" s="2"/>
      <c r="Z56" s="6">
        <f t="shared" si="43"/>
        <v>0</v>
      </c>
    </row>
    <row r="57" spans="1:26" s="28" customFormat="1" outlineLevel="1" collapsed="1" x14ac:dyDescent="0.25">
      <c r="A57" s="27"/>
      <c r="B57" s="14" t="str">
        <f>CONCATENATE("     ","Insurance                                         ")</f>
        <v xml:space="preserve">     Insurance                                         </v>
      </c>
      <c r="C57" s="14"/>
      <c r="D57" s="1">
        <f>SUM(OSRRefD22_8x_0)</f>
        <v>331.01</v>
      </c>
      <c r="E57" s="1"/>
      <c r="F57" s="5">
        <f t="shared" si="36"/>
        <v>2.0554316400234474E-2</v>
      </c>
      <c r="G57" s="1"/>
      <c r="H57" s="1">
        <f>SUM(OSRRefH22_8x_0)</f>
        <v>330</v>
      </c>
      <c r="I57" s="1"/>
      <c r="J57" s="5">
        <f t="shared" si="37"/>
        <v>1.1847490486106125E-2</v>
      </c>
      <c r="K57" s="1"/>
      <c r="L57" s="1">
        <f t="shared" si="38"/>
        <v>1.0099999999999909</v>
      </c>
      <c r="M57" s="1"/>
      <c r="N57" s="5">
        <f t="shared" si="39"/>
        <v>3.0606060606060332E-3</v>
      </c>
      <c r="O57" s="14"/>
      <c r="P57" s="1">
        <f>SUM(OSRRefP22_8x_0)</f>
        <v>993.03</v>
      </c>
      <c r="Q57" s="1"/>
      <c r="R57" s="5">
        <f t="shared" si="40"/>
        <v>4.3863783435185821E-2</v>
      </c>
      <c r="S57" s="1"/>
      <c r="T57" s="1">
        <f>SUM(OSRRefT22_8x_0)</f>
        <v>990</v>
      </c>
      <c r="U57" s="1"/>
      <c r="V57" s="5">
        <f t="shared" si="41"/>
        <v>2.7616603436732872E-2</v>
      </c>
      <c r="W57" s="1"/>
      <c r="X57" s="1">
        <f t="shared" si="42"/>
        <v>3.0299999999999727</v>
      </c>
      <c r="Y57" s="1"/>
      <c r="Z57" s="5">
        <f t="shared" si="43"/>
        <v>3.0606060606060332E-3</v>
      </c>
    </row>
    <row r="58" spans="1:26" s="24" customFormat="1" hidden="1" outlineLevel="2" x14ac:dyDescent="0.25">
      <c r="A58" s="29"/>
      <c r="B58" s="11" t="str">
        <f>CONCATENATE("          ", "6314", " - ", "LIABILITY INSURANCE")</f>
        <v xml:space="preserve">          6314 - LIABILITY INSURANCE</v>
      </c>
      <c r="C58" s="11"/>
      <c r="D58" s="7">
        <v>331.01</v>
      </c>
      <c r="E58" s="2"/>
      <c r="F58" s="6">
        <f t="shared" si="36"/>
        <v>2.0554316400234474E-2</v>
      </c>
      <c r="G58" s="2"/>
      <c r="H58" s="7">
        <v>330</v>
      </c>
      <c r="I58" s="2"/>
      <c r="J58" s="6">
        <f t="shared" si="37"/>
        <v>1.1847490486106125E-2</v>
      </c>
      <c r="K58" s="2"/>
      <c r="L58" s="7">
        <f t="shared" si="38"/>
        <v>1.0099999999999909</v>
      </c>
      <c r="M58" s="2"/>
      <c r="N58" s="6">
        <f t="shared" si="39"/>
        <v>3.0606060606060332E-3</v>
      </c>
      <c r="O58" s="11"/>
      <c r="P58" s="7">
        <v>993.03</v>
      </c>
      <c r="Q58" s="2"/>
      <c r="R58" s="6">
        <f t="shared" si="40"/>
        <v>4.3863783435185821E-2</v>
      </c>
      <c r="S58" s="2"/>
      <c r="T58" s="7">
        <v>990</v>
      </c>
      <c r="U58" s="2"/>
      <c r="V58" s="6">
        <f t="shared" si="41"/>
        <v>2.7616603436732872E-2</v>
      </c>
      <c r="W58" s="2"/>
      <c r="X58" s="7">
        <f t="shared" si="42"/>
        <v>3.0299999999999727</v>
      </c>
      <c r="Y58" s="2"/>
      <c r="Z58" s="6">
        <f t="shared" si="43"/>
        <v>3.0606060606060332E-3</v>
      </c>
    </row>
    <row r="59" spans="1:26" s="28" customFormat="1" outlineLevel="1" collapsed="1" x14ac:dyDescent="0.25">
      <c r="A59" s="27"/>
      <c r="B59" s="14" t="str">
        <f>CONCATENATE("     ","Interest                                          ")</f>
        <v xml:space="preserve">     Interest                                          </v>
      </c>
      <c r="C59" s="14"/>
      <c r="D59" s="1">
        <f>SUM(OSRRefD22_9x_0)</f>
        <v>3905</v>
      </c>
      <c r="E59" s="1"/>
      <c r="F59" s="5">
        <f t="shared" si="36"/>
        <v>0.2424839296181856</v>
      </c>
      <c r="G59" s="1"/>
      <c r="H59" s="1">
        <f>SUM(OSRRefH22_9x_0)</f>
        <v>3905</v>
      </c>
      <c r="I59" s="1"/>
      <c r="J59" s="5">
        <f t="shared" si="37"/>
        <v>0.14019530408558914</v>
      </c>
      <c r="K59" s="1"/>
      <c r="L59" s="1">
        <f t="shared" si="38"/>
        <v>0</v>
      </c>
      <c r="M59" s="1"/>
      <c r="N59" s="5">
        <f t="shared" si="39"/>
        <v>0</v>
      </c>
      <c r="O59" s="14"/>
      <c r="P59" s="1">
        <f>SUM(OSRRefP22_9x_0)</f>
        <v>11715</v>
      </c>
      <c r="Q59" s="1"/>
      <c r="R59" s="5">
        <f t="shared" si="40"/>
        <v>0.51747099578381517</v>
      </c>
      <c r="S59" s="1"/>
      <c r="T59" s="1">
        <f>SUM(OSRRefT22_9x_0)</f>
        <v>11715</v>
      </c>
      <c r="U59" s="1"/>
      <c r="V59" s="5">
        <f t="shared" si="41"/>
        <v>0.32679647400133899</v>
      </c>
      <c r="W59" s="1"/>
      <c r="X59" s="1">
        <f t="shared" si="42"/>
        <v>0</v>
      </c>
      <c r="Y59" s="1"/>
      <c r="Z59" s="5">
        <f t="shared" si="43"/>
        <v>0</v>
      </c>
    </row>
    <row r="60" spans="1:26" s="24" customFormat="1" hidden="1" outlineLevel="2" x14ac:dyDescent="0.25">
      <c r="A60" s="29"/>
      <c r="B60" s="11" t="str">
        <f>CONCATENATE("          ", "6401", " - ", "INTEREST EXPENSE")</f>
        <v xml:space="preserve">          6401 - INTEREST EXPENSE</v>
      </c>
      <c r="C60" s="11"/>
      <c r="D60" s="7">
        <v>3905</v>
      </c>
      <c r="E60" s="2"/>
      <c r="F60" s="6">
        <f t="shared" si="36"/>
        <v>0.2424839296181856</v>
      </c>
      <c r="G60" s="2"/>
      <c r="H60" s="7">
        <v>3905</v>
      </c>
      <c r="I60" s="2"/>
      <c r="J60" s="6">
        <f t="shared" si="37"/>
        <v>0.14019530408558914</v>
      </c>
      <c r="K60" s="2"/>
      <c r="L60" s="7">
        <f t="shared" si="38"/>
        <v>0</v>
      </c>
      <c r="M60" s="2"/>
      <c r="N60" s="6">
        <f t="shared" si="39"/>
        <v>0</v>
      </c>
      <c r="O60" s="11"/>
      <c r="P60" s="7">
        <v>11715</v>
      </c>
      <c r="Q60" s="2"/>
      <c r="R60" s="6">
        <f t="shared" si="40"/>
        <v>0.51747099578381517</v>
      </c>
      <c r="S60" s="2"/>
      <c r="T60" s="7">
        <v>11715</v>
      </c>
      <c r="U60" s="2"/>
      <c r="V60" s="6">
        <f t="shared" si="41"/>
        <v>0.32679647400133899</v>
      </c>
      <c r="W60" s="2"/>
      <c r="X60" s="7">
        <f t="shared" si="42"/>
        <v>0</v>
      </c>
      <c r="Y60" s="2"/>
      <c r="Z60" s="6">
        <f t="shared" si="43"/>
        <v>0</v>
      </c>
    </row>
    <row r="61" spans="1:26" s="28" customFormat="1" outlineLevel="1" collapsed="1" x14ac:dyDescent="0.25">
      <c r="A61" s="27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SUM(OSRRefD22_10x_0)</f>
        <v>107.78</v>
      </c>
      <c r="E61" s="1"/>
      <c r="F61" s="5">
        <f t="shared" si="36"/>
        <v>6.6926806489751717E-3</v>
      </c>
      <c r="G61" s="1"/>
      <c r="H61" s="1">
        <f>SUM(OSRRefH22_10x_0)</f>
        <v>2955</v>
      </c>
      <c r="I61" s="1"/>
      <c r="J61" s="5">
        <f t="shared" si="37"/>
        <v>0.10608889208013211</v>
      </c>
      <c r="K61" s="1"/>
      <c r="L61" s="1">
        <f t="shared" si="38"/>
        <v>-2847.22</v>
      </c>
      <c r="M61" s="1"/>
      <c r="N61" s="5">
        <f t="shared" si="39"/>
        <v>-0.96352622673434851</v>
      </c>
      <c r="O61" s="14"/>
      <c r="P61" s="1">
        <f>SUM(OSRRefP22_10x_0)</f>
        <v>2030.77</v>
      </c>
      <c r="Q61" s="1"/>
      <c r="R61" s="5">
        <f t="shared" si="40"/>
        <v>8.9702481784711754E-2</v>
      </c>
      <c r="S61" s="1"/>
      <c r="T61" s="1">
        <f>SUM(OSRRefT22_10x_0)</f>
        <v>4813</v>
      </c>
      <c r="U61" s="1"/>
      <c r="V61" s="5">
        <f t="shared" si="41"/>
        <v>0.13426132559696496</v>
      </c>
      <c r="W61" s="1"/>
      <c r="X61" s="1">
        <f t="shared" si="42"/>
        <v>-2782.23</v>
      </c>
      <c r="Y61" s="1"/>
      <c r="Z61" s="5">
        <f t="shared" si="43"/>
        <v>-0.57806565551630995</v>
      </c>
    </row>
    <row r="62" spans="1:26" s="24" customFormat="1" hidden="1" outlineLevel="2" x14ac:dyDescent="0.25">
      <c r="A62" s="29"/>
      <c r="B62" s="11" t="str">
        <f>CONCATENATE("          ", "6371", " - ", "COMPUTER SOFTWARE MAINTENANCE")</f>
        <v xml:space="preserve">          6371 - COMPUTER SOFTWARE MAINTENANCE</v>
      </c>
      <c r="C62" s="11"/>
      <c r="D62" s="7"/>
      <c r="E62" s="2"/>
      <c r="F62" s="6">
        <f t="shared" si="36"/>
        <v>0</v>
      </c>
      <c r="G62" s="2"/>
      <c r="H62" s="7">
        <v>2623</v>
      </c>
      <c r="I62" s="2"/>
      <c r="J62" s="6">
        <f t="shared" si="37"/>
        <v>9.4169598621382924E-2</v>
      </c>
      <c r="K62" s="2"/>
      <c r="L62" s="7">
        <f t="shared" si="38"/>
        <v>-2623</v>
      </c>
      <c r="M62" s="2"/>
      <c r="N62" s="6">
        <f t="shared" si="39"/>
        <v>-1</v>
      </c>
      <c r="O62" s="11"/>
      <c r="P62" s="7"/>
      <c r="Q62" s="2"/>
      <c r="R62" s="6">
        <f t="shared" si="40"/>
        <v>0</v>
      </c>
      <c r="S62" s="2"/>
      <c r="T62" s="7">
        <v>2623</v>
      </c>
      <c r="U62" s="2"/>
      <c r="V62" s="6">
        <f t="shared" si="41"/>
        <v>7.3170051327828611E-2</v>
      </c>
      <c r="W62" s="2"/>
      <c r="X62" s="7">
        <f t="shared" si="42"/>
        <v>-2623</v>
      </c>
      <c r="Y62" s="2"/>
      <c r="Z62" s="6">
        <f t="shared" si="43"/>
        <v>-1</v>
      </c>
    </row>
    <row r="63" spans="1:26" s="24" customFormat="1" hidden="1" outlineLevel="2" x14ac:dyDescent="0.25">
      <c r="A63" s="29"/>
      <c r="B63" s="11" t="str">
        <f>CONCATENATE("          ", "6373", " - ", "MAINTENANCE CONTRACTS")</f>
        <v xml:space="preserve">          6373 - MAINTENANCE CONTRACTS</v>
      </c>
      <c r="C63" s="11"/>
      <c r="D63" s="7">
        <v>107.78</v>
      </c>
      <c r="E63" s="2"/>
      <c r="F63" s="6">
        <f t="shared" si="36"/>
        <v>6.6926806489751717E-3</v>
      </c>
      <c r="G63" s="2"/>
      <c r="H63" s="7"/>
      <c r="I63" s="2"/>
      <c r="J63" s="6">
        <f t="shared" si="37"/>
        <v>0</v>
      </c>
      <c r="K63" s="2"/>
      <c r="L63" s="7">
        <f t="shared" si="38"/>
        <v>107.78</v>
      </c>
      <c r="M63" s="2"/>
      <c r="N63" s="6">
        <f t="shared" si="39"/>
        <v>0</v>
      </c>
      <c r="O63" s="11"/>
      <c r="P63" s="7">
        <v>107.78</v>
      </c>
      <c r="Q63" s="2"/>
      <c r="R63" s="6">
        <f t="shared" si="40"/>
        <v>4.7608215045309085E-3</v>
      </c>
      <c r="S63" s="2"/>
      <c r="T63" s="7">
        <v>260</v>
      </c>
      <c r="U63" s="2"/>
      <c r="V63" s="6">
        <f t="shared" si="41"/>
        <v>7.2528453470207541E-3</v>
      </c>
      <c r="W63" s="2"/>
      <c r="X63" s="7">
        <f t="shared" si="42"/>
        <v>-152.22</v>
      </c>
      <c r="Y63" s="2"/>
      <c r="Z63" s="6">
        <f t="shared" si="43"/>
        <v>-0.58546153846153848</v>
      </c>
    </row>
    <row r="64" spans="1:26" s="24" customFormat="1" hidden="1" outlineLevel="2" x14ac:dyDescent="0.25">
      <c r="A64" s="29"/>
      <c r="B64" s="11" t="str">
        <f>CONCATENATE("          ", "6375", " - ", "OUTSIDE REPAIRS &amp; MAINTENANCE")</f>
        <v xml:space="preserve">          6375 - OUTSIDE REPAIRS &amp; MAINTENANCE</v>
      </c>
      <c r="C64" s="11"/>
      <c r="D64" s="7"/>
      <c r="E64" s="2"/>
      <c r="F64" s="6">
        <f t="shared" si="36"/>
        <v>0</v>
      </c>
      <c r="G64" s="2"/>
      <c r="H64" s="7">
        <v>332</v>
      </c>
      <c r="I64" s="2"/>
      <c r="J64" s="6">
        <f t="shared" si="37"/>
        <v>1.1919293458749192E-2</v>
      </c>
      <c r="K64" s="2"/>
      <c r="L64" s="7">
        <f t="shared" si="38"/>
        <v>-332</v>
      </c>
      <c r="M64" s="2"/>
      <c r="N64" s="6">
        <f t="shared" si="39"/>
        <v>-1</v>
      </c>
      <c r="O64" s="11"/>
      <c r="P64" s="7">
        <v>1922.99</v>
      </c>
      <c r="Q64" s="2"/>
      <c r="R64" s="6">
        <f t="shared" si="40"/>
        <v>8.4941660280180853E-2</v>
      </c>
      <c r="S64" s="2"/>
      <c r="T64" s="7">
        <v>1930</v>
      </c>
      <c r="U64" s="2"/>
      <c r="V64" s="6">
        <f t="shared" si="41"/>
        <v>5.38384289221156E-2</v>
      </c>
      <c r="W64" s="2"/>
      <c r="X64" s="7">
        <f t="shared" si="42"/>
        <v>-7.0099999999999909</v>
      </c>
      <c r="Y64" s="2"/>
      <c r="Z64" s="6">
        <f t="shared" si="43"/>
        <v>-3.6321243523316014E-3</v>
      </c>
    </row>
    <row r="65" spans="1:26" s="28" customFormat="1" outlineLevel="1" collapsed="1" x14ac:dyDescent="0.25">
      <c r="A65" s="27"/>
      <c r="B65" s="14" t="str">
        <f>CONCATENATE("     ","Services                                          ")</f>
        <v xml:space="preserve">     Services                                          </v>
      </c>
      <c r="C65" s="14"/>
      <c r="D65" s="1">
        <f>SUM(OSRRefD22_11x_0)</f>
        <v>272.27999999999997</v>
      </c>
      <c r="E65" s="1"/>
      <c r="F65" s="5">
        <f t="shared" ref="F65:F68" si="44">IF(D$12=0,0,D65/D$12)</f>
        <v>1.6907432613684908E-2</v>
      </c>
      <c r="G65" s="1"/>
      <c r="H65" s="1">
        <f>SUM(OSRRefH22_11x_0)</f>
        <v>192</v>
      </c>
      <c r="I65" s="1"/>
      <c r="J65" s="5">
        <f t="shared" ref="J65:J68" si="45">IF(H$12=0,0,H65/H$12)</f>
        <v>6.8930853737344724E-3</v>
      </c>
      <c r="K65" s="1"/>
      <c r="L65" s="1">
        <f t="shared" ref="L65:L68" si="46">+D65-H65</f>
        <v>80.279999999999973</v>
      </c>
      <c r="M65" s="1"/>
      <c r="N65" s="5">
        <f t="shared" ref="N65:N68" si="47">IF(H65=0,0,L65/H65)</f>
        <v>0.41812499999999986</v>
      </c>
      <c r="O65" s="14"/>
      <c r="P65" s="1">
        <f>SUM(OSRRefP22_11x_0)</f>
        <v>7670.2000000000007</v>
      </c>
      <c r="Q65" s="1"/>
      <c r="R65" s="5">
        <f t="shared" ref="R65:R68" si="48">IF(P$12=0,0,P65/P$12)</f>
        <v>0.33880546580119669</v>
      </c>
      <c r="S65" s="1"/>
      <c r="T65" s="1">
        <f>SUM(OSRRefT22_11x_0)</f>
        <v>393</v>
      </c>
      <c r="U65" s="1"/>
      <c r="V65" s="5">
        <f t="shared" ref="V65:V68" si="49">IF(T$12=0,0,T65/T$12)</f>
        <v>1.096295469761214E-2</v>
      </c>
      <c r="W65" s="1"/>
      <c r="X65" s="1">
        <f t="shared" ref="X65:X68" si="50">+P65-T65</f>
        <v>7277.2000000000007</v>
      </c>
      <c r="Y65" s="1"/>
      <c r="Z65" s="5">
        <f t="shared" ref="Z65:Z68" si="51">IF(T65=0,0,X65/T65)</f>
        <v>18.517048346055983</v>
      </c>
    </row>
    <row r="66" spans="1:26" s="24" customFormat="1" hidden="1" outlineLevel="2" x14ac:dyDescent="0.25">
      <c r="A66" s="29"/>
      <c r="B66" s="11" t="str">
        <f>CONCATENATE("          ", "6282", " - ", "JANITORIAL/EXTERMINATOR EXPENS")</f>
        <v xml:space="preserve">          6282 - JANITORIAL/EXTERMINATOR EXPENS</v>
      </c>
      <c r="C66" s="11"/>
      <c r="D66" s="7">
        <v>168.4</v>
      </c>
      <c r="E66" s="2"/>
      <c r="F66" s="6">
        <f t="shared" si="44"/>
        <v>1.0456925415544804E-2</v>
      </c>
      <c r="G66" s="2"/>
      <c r="H66" s="7">
        <v>158</v>
      </c>
      <c r="I66" s="2"/>
      <c r="J66" s="6">
        <f t="shared" si="45"/>
        <v>5.6724348388023267E-3</v>
      </c>
      <c r="K66" s="2"/>
      <c r="L66" s="7">
        <f t="shared" si="46"/>
        <v>10.400000000000006</v>
      </c>
      <c r="M66" s="2"/>
      <c r="N66" s="6">
        <f t="shared" si="47"/>
        <v>6.5822784810126614E-2</v>
      </c>
      <c r="O66" s="11"/>
      <c r="P66" s="7">
        <v>336.8</v>
      </c>
      <c r="Q66" s="2"/>
      <c r="R66" s="6">
        <f t="shared" si="48"/>
        <v>1.487701505591028E-2</v>
      </c>
      <c r="S66" s="2"/>
      <c r="T66" s="7">
        <v>316</v>
      </c>
      <c r="U66" s="2"/>
      <c r="V66" s="6">
        <f t="shared" si="49"/>
        <v>8.8149966525329169E-3</v>
      </c>
      <c r="W66" s="2"/>
      <c r="X66" s="7">
        <f t="shared" si="50"/>
        <v>20.800000000000011</v>
      </c>
      <c r="Y66" s="2"/>
      <c r="Z66" s="6">
        <f t="shared" si="51"/>
        <v>6.5822784810126614E-2</v>
      </c>
    </row>
    <row r="67" spans="1:26" s="24" customFormat="1" hidden="1" outlineLevel="2" x14ac:dyDescent="0.25">
      <c r="A67" s="29"/>
      <c r="B67" s="11" t="str">
        <f>CONCATENATE("          ", "6285", " - ", "JANITORIAL SERVICES")</f>
        <v xml:space="preserve">          6285 - JANITORIAL SERVICES</v>
      </c>
      <c r="C67" s="11"/>
      <c r="D67" s="7">
        <v>51.94</v>
      </c>
      <c r="E67" s="2"/>
      <c r="F67" s="6">
        <f t="shared" si="44"/>
        <v>3.225253599070054E-3</v>
      </c>
      <c r="G67" s="2"/>
      <c r="H67" s="7"/>
      <c r="I67" s="2"/>
      <c r="J67" s="6">
        <f t="shared" si="45"/>
        <v>0</v>
      </c>
      <c r="K67" s="2"/>
      <c r="L67" s="7">
        <f t="shared" si="46"/>
        <v>51.94</v>
      </c>
      <c r="M67" s="2"/>
      <c r="N67" s="6">
        <f t="shared" si="47"/>
        <v>0</v>
      </c>
      <c r="O67" s="11"/>
      <c r="P67" s="7">
        <v>7229.52</v>
      </c>
      <c r="Q67" s="2"/>
      <c r="R67" s="6">
        <f t="shared" si="48"/>
        <v>0.3193398987143839</v>
      </c>
      <c r="S67" s="2"/>
      <c r="T67" s="7"/>
      <c r="U67" s="2"/>
      <c r="V67" s="6">
        <f t="shared" si="49"/>
        <v>0</v>
      </c>
      <c r="W67" s="2"/>
      <c r="X67" s="7">
        <f t="shared" si="50"/>
        <v>7229.52</v>
      </c>
      <c r="Y67" s="2"/>
      <c r="Z67" s="6">
        <f t="shared" si="51"/>
        <v>0</v>
      </c>
    </row>
    <row r="68" spans="1:26" s="24" customFormat="1" hidden="1" outlineLevel="2" x14ac:dyDescent="0.25">
      <c r="A68" s="29"/>
      <c r="B68" s="11" t="str">
        <f>CONCATENATE("          ", "6286", " - ", "LAUNDRY EXPENSE")</f>
        <v xml:space="preserve">          6286 - LAUNDRY EXPENSE</v>
      </c>
      <c r="C68" s="11"/>
      <c r="D68" s="7">
        <v>51.94</v>
      </c>
      <c r="E68" s="2"/>
      <c r="F68" s="6">
        <f t="shared" si="44"/>
        <v>3.225253599070054E-3</v>
      </c>
      <c r="G68" s="2"/>
      <c r="H68" s="7">
        <v>34</v>
      </c>
      <c r="I68" s="2"/>
      <c r="J68" s="6">
        <f t="shared" si="45"/>
        <v>1.2206505349321461E-3</v>
      </c>
      <c r="K68" s="2"/>
      <c r="L68" s="7">
        <f t="shared" si="46"/>
        <v>17.939999999999998</v>
      </c>
      <c r="M68" s="2"/>
      <c r="N68" s="6">
        <f t="shared" si="47"/>
        <v>0.52764705882352936</v>
      </c>
      <c r="O68" s="11"/>
      <c r="P68" s="7">
        <v>103.88</v>
      </c>
      <c r="Q68" s="2"/>
      <c r="R68" s="6">
        <f t="shared" si="48"/>
        <v>4.5885520309024933E-3</v>
      </c>
      <c r="S68" s="2"/>
      <c r="T68" s="7">
        <v>77</v>
      </c>
      <c r="U68" s="2"/>
      <c r="V68" s="6">
        <f t="shared" si="49"/>
        <v>2.1479580450792235E-3</v>
      </c>
      <c r="W68" s="2"/>
      <c r="X68" s="7">
        <f t="shared" si="50"/>
        <v>26.879999999999995</v>
      </c>
      <c r="Y68" s="2"/>
      <c r="Z68" s="6">
        <f t="shared" si="51"/>
        <v>0.34909090909090901</v>
      </c>
    </row>
    <row r="69" spans="1:26" s="28" customFormat="1" outlineLevel="1" collapsed="1" x14ac:dyDescent="0.25">
      <c r="A69" s="27"/>
      <c r="B69" s="14" t="str">
        <f>CONCATENATE("     ","Supplies                                          ")</f>
        <v xml:space="preserve">     Supplies                                          </v>
      </c>
      <c r="C69" s="14"/>
      <c r="D69" s="1">
        <f>SUM(OSRRefD22_12x_0)</f>
        <v>177.2</v>
      </c>
      <c r="E69" s="1"/>
      <c r="F69" s="5">
        <f t="shared" ref="F69:F74" si="52">IF(D$12=0,0,D69/D$12)</f>
        <v>1.1003368073839306E-2</v>
      </c>
      <c r="G69" s="1"/>
      <c r="H69" s="1">
        <f>SUM(OSRRefH22_12x_0)</f>
        <v>1750</v>
      </c>
      <c r="I69" s="1"/>
      <c r="J69" s="5">
        <f t="shared" ref="J69:J74" si="53">IF(H$12=0,0,H69/H$12)</f>
        <v>6.2827601062683994E-2</v>
      </c>
      <c r="K69" s="1"/>
      <c r="L69" s="1">
        <f t="shared" ref="L69:L74" si="54">+D69-H69</f>
        <v>-1572.8</v>
      </c>
      <c r="M69" s="1"/>
      <c r="N69" s="5">
        <f t="shared" ref="N69:N74" si="55">IF(H69=0,0,L69/H69)</f>
        <v>-0.89874285714285707</v>
      </c>
      <c r="O69" s="14"/>
      <c r="P69" s="1">
        <f>SUM(OSRRefP22_12x_0)</f>
        <v>977.06</v>
      </c>
      <c r="Q69" s="1"/>
      <c r="R69" s="5">
        <f t="shared" ref="R69:R74" si="56">IF(P$12=0,0,P69/P$12)</f>
        <v>4.3158362026507413E-2</v>
      </c>
      <c r="S69" s="1"/>
      <c r="T69" s="1">
        <f>SUM(OSRRefT22_12x_0)</f>
        <v>3000</v>
      </c>
      <c r="U69" s="1"/>
      <c r="V69" s="5">
        <f t="shared" ref="V69:V74" si="57">IF(T$12=0,0,T69/T$12)</f>
        <v>8.3686677081008701E-2</v>
      </c>
      <c r="W69" s="1"/>
      <c r="X69" s="1">
        <f t="shared" ref="X69:X74" si="58">+P69-T69</f>
        <v>-2022.94</v>
      </c>
      <c r="Y69" s="1"/>
      <c r="Z69" s="5">
        <f t="shared" ref="Z69:Z74" si="59">IF(T69=0,0,X69/T69)</f>
        <v>-0.67431333333333332</v>
      </c>
    </row>
    <row r="70" spans="1:26" s="24" customFormat="1" hidden="1" outlineLevel="2" x14ac:dyDescent="0.25">
      <c r="A70" s="29"/>
      <c r="B70" s="11" t="str">
        <f>CONCATENATE("          ", "6234", " - ", "EXPENDABLE SUPPLIES &amp; EQUIPMEN")</f>
        <v xml:space="preserve">          6234 - EXPENDABLE SUPPLIES &amp; EQUIPMEN</v>
      </c>
      <c r="C70" s="11"/>
      <c r="D70" s="7"/>
      <c r="E70" s="2"/>
      <c r="F70" s="6">
        <f t="shared" si="52"/>
        <v>0</v>
      </c>
      <c r="G70" s="2"/>
      <c r="H70" s="7">
        <v>50</v>
      </c>
      <c r="I70" s="2"/>
      <c r="J70" s="6">
        <f t="shared" si="53"/>
        <v>1.7950743160766857E-3</v>
      </c>
      <c r="K70" s="2"/>
      <c r="L70" s="7">
        <f t="shared" si="54"/>
        <v>-50</v>
      </c>
      <c r="M70" s="2"/>
      <c r="N70" s="6">
        <f t="shared" si="55"/>
        <v>-1</v>
      </c>
      <c r="O70" s="11"/>
      <c r="P70" s="7"/>
      <c r="Q70" s="2"/>
      <c r="R70" s="6">
        <f t="shared" si="56"/>
        <v>0</v>
      </c>
      <c r="S70" s="2"/>
      <c r="T70" s="7">
        <v>250</v>
      </c>
      <c r="U70" s="2"/>
      <c r="V70" s="6">
        <f t="shared" si="57"/>
        <v>6.9738897567507251E-3</v>
      </c>
      <c r="W70" s="2"/>
      <c r="X70" s="7">
        <f t="shared" si="58"/>
        <v>-250</v>
      </c>
      <c r="Y70" s="2"/>
      <c r="Z70" s="6">
        <f t="shared" si="59"/>
        <v>-1</v>
      </c>
    </row>
    <row r="71" spans="1:26" s="24" customFormat="1" hidden="1" outlineLevel="2" x14ac:dyDescent="0.25">
      <c r="A71" s="29"/>
      <c r="B71" s="11" t="str">
        <f>CONCATENATE("          ", "6237", " - ", "JANITORIAL SUPPLIES")</f>
        <v xml:space="preserve">          6237 - JANITORIAL SUPPLIES</v>
      </c>
      <c r="C71" s="11"/>
      <c r="D71" s="7">
        <v>119.22</v>
      </c>
      <c r="E71" s="2"/>
      <c r="F71" s="6">
        <f t="shared" si="52"/>
        <v>7.403056104758025E-3</v>
      </c>
      <c r="G71" s="2"/>
      <c r="H71" s="7">
        <v>0</v>
      </c>
      <c r="I71" s="2"/>
      <c r="J71" s="6">
        <f t="shared" si="53"/>
        <v>0</v>
      </c>
      <c r="K71" s="2"/>
      <c r="L71" s="7">
        <f t="shared" si="54"/>
        <v>119.22</v>
      </c>
      <c r="M71" s="2"/>
      <c r="N71" s="6">
        <f t="shared" si="55"/>
        <v>0</v>
      </c>
      <c r="O71" s="11"/>
      <c r="P71" s="7">
        <v>488.84</v>
      </c>
      <c r="Q71" s="2"/>
      <c r="R71" s="6">
        <f t="shared" si="56"/>
        <v>2.1592874227824171E-2</v>
      </c>
      <c r="S71" s="2"/>
      <c r="T71" s="7">
        <v>50</v>
      </c>
      <c r="U71" s="2"/>
      <c r="V71" s="6">
        <f t="shared" si="57"/>
        <v>1.394777951350145E-3</v>
      </c>
      <c r="W71" s="2"/>
      <c r="X71" s="7">
        <f t="shared" si="58"/>
        <v>438.84</v>
      </c>
      <c r="Y71" s="2"/>
      <c r="Z71" s="6">
        <f t="shared" si="59"/>
        <v>8.7767999999999997</v>
      </c>
    </row>
    <row r="72" spans="1:26" s="24" customFormat="1" hidden="1" outlineLevel="2" x14ac:dyDescent="0.25">
      <c r="A72" s="29"/>
      <c r="B72" s="11" t="str">
        <f>CONCATENATE("          ", "6241", " - ", "OFFICE EXPENSE")</f>
        <v xml:space="preserve">          6241 - OFFICE EXPENSE</v>
      </c>
      <c r="C72" s="11"/>
      <c r="D72" s="7"/>
      <c r="E72" s="2"/>
      <c r="F72" s="6">
        <f t="shared" si="52"/>
        <v>0</v>
      </c>
      <c r="G72" s="2"/>
      <c r="H72" s="7"/>
      <c r="I72" s="2"/>
      <c r="J72" s="6">
        <f t="shared" si="53"/>
        <v>0</v>
      </c>
      <c r="K72" s="2"/>
      <c r="L72" s="7">
        <f t="shared" si="54"/>
        <v>0</v>
      </c>
      <c r="M72" s="2"/>
      <c r="N72" s="6">
        <f t="shared" si="55"/>
        <v>0</v>
      </c>
      <c r="O72" s="11"/>
      <c r="P72" s="7">
        <v>130.24</v>
      </c>
      <c r="Q72" s="2"/>
      <c r="R72" s="6">
        <f t="shared" si="56"/>
        <v>5.7529169859909593E-3</v>
      </c>
      <c r="S72" s="2"/>
      <c r="T72" s="7"/>
      <c r="U72" s="2"/>
      <c r="V72" s="6">
        <f t="shared" si="57"/>
        <v>0</v>
      </c>
      <c r="W72" s="2"/>
      <c r="X72" s="7">
        <f t="shared" si="58"/>
        <v>130.24</v>
      </c>
      <c r="Y72" s="2"/>
      <c r="Z72" s="6">
        <f t="shared" si="59"/>
        <v>0</v>
      </c>
    </row>
    <row r="73" spans="1:26" s="24" customFormat="1" hidden="1" outlineLevel="2" x14ac:dyDescent="0.25">
      <c r="A73" s="29"/>
      <c r="B73" s="11" t="str">
        <f>CONCATENATE("          ", "6243", " - ", "PAPER SUPPLIES")</f>
        <v xml:space="preserve">          6243 - PAPER SUPPLIES</v>
      </c>
      <c r="C73" s="11"/>
      <c r="D73" s="7"/>
      <c r="E73" s="2"/>
      <c r="F73" s="6">
        <f t="shared" si="52"/>
        <v>0</v>
      </c>
      <c r="G73" s="2"/>
      <c r="H73" s="7">
        <v>200</v>
      </c>
      <c r="I73" s="2"/>
      <c r="J73" s="6">
        <f t="shared" si="53"/>
        <v>7.1802972643067427E-3</v>
      </c>
      <c r="K73" s="2"/>
      <c r="L73" s="7">
        <f t="shared" si="54"/>
        <v>-200</v>
      </c>
      <c r="M73" s="2"/>
      <c r="N73" s="6">
        <f t="shared" si="55"/>
        <v>-1</v>
      </c>
      <c r="O73" s="11"/>
      <c r="P73" s="7"/>
      <c r="Q73" s="2"/>
      <c r="R73" s="6">
        <f t="shared" si="56"/>
        <v>0</v>
      </c>
      <c r="S73" s="2"/>
      <c r="T73" s="7">
        <v>400</v>
      </c>
      <c r="U73" s="2"/>
      <c r="V73" s="6">
        <f t="shared" si="57"/>
        <v>1.115822361080116E-2</v>
      </c>
      <c r="W73" s="2"/>
      <c r="X73" s="7">
        <f t="shared" si="58"/>
        <v>-400</v>
      </c>
      <c r="Y73" s="2"/>
      <c r="Z73" s="6">
        <f t="shared" si="59"/>
        <v>-1</v>
      </c>
    </row>
    <row r="74" spans="1:26" s="24" customFormat="1" hidden="1" outlineLevel="2" x14ac:dyDescent="0.25">
      <c r="A74" s="29"/>
      <c r="B74" s="11" t="str">
        <f>CONCATENATE("          ", "6247", " - ", "STORE SUPPLIES")</f>
        <v xml:space="preserve">          6247 - STORE SUPPLIES</v>
      </c>
      <c r="C74" s="11"/>
      <c r="D74" s="7">
        <v>57.98</v>
      </c>
      <c r="E74" s="2"/>
      <c r="F74" s="6">
        <f t="shared" si="52"/>
        <v>3.6003119690812806E-3</v>
      </c>
      <c r="G74" s="2"/>
      <c r="H74" s="7">
        <v>1500</v>
      </c>
      <c r="I74" s="2"/>
      <c r="J74" s="6">
        <f t="shared" si="53"/>
        <v>5.3852229482300569E-2</v>
      </c>
      <c r="K74" s="2"/>
      <c r="L74" s="7">
        <f t="shared" si="54"/>
        <v>-1442.02</v>
      </c>
      <c r="M74" s="2"/>
      <c r="N74" s="6">
        <f t="shared" si="55"/>
        <v>-0.96134666666666668</v>
      </c>
      <c r="O74" s="11"/>
      <c r="P74" s="7">
        <v>357.98</v>
      </c>
      <c r="Q74" s="2"/>
      <c r="R74" s="6">
        <f t="shared" si="56"/>
        <v>1.5812570812692286E-2</v>
      </c>
      <c r="S74" s="2"/>
      <c r="T74" s="7">
        <v>2300</v>
      </c>
      <c r="U74" s="2"/>
      <c r="V74" s="6">
        <f t="shared" si="57"/>
        <v>6.4159785762106666E-2</v>
      </c>
      <c r="W74" s="2"/>
      <c r="X74" s="7">
        <f t="shared" si="58"/>
        <v>-1942.02</v>
      </c>
      <c r="Y74" s="2"/>
      <c r="Z74" s="6">
        <f t="shared" si="59"/>
        <v>-0.84435652173913045</v>
      </c>
    </row>
    <row r="75" spans="1:26" s="28" customFormat="1" outlineLevel="1" collapsed="1" x14ac:dyDescent="0.25">
      <c r="A75" s="27"/>
      <c r="B75" s="14" t="str">
        <f>CONCATENATE("     ","Telephone/Data Lines                              ")</f>
        <v xml:space="preserve">     Telephone/Data Lines                              </v>
      </c>
      <c r="C75" s="14"/>
      <c r="D75" s="1">
        <f>SUM(OSRRefD22_13x_0)</f>
        <v>294</v>
      </c>
      <c r="E75" s="1"/>
      <c r="F75" s="5">
        <f t="shared" ref="F75:F77" si="60">IF(D$12=0,0,D75/D$12)</f>
        <v>1.8256152447566343E-2</v>
      </c>
      <c r="G75" s="1"/>
      <c r="H75" s="1">
        <f>SUM(OSRRefH22_13x_0)</f>
        <v>125</v>
      </c>
      <c r="I75" s="1"/>
      <c r="J75" s="5">
        <f t="shared" ref="J75:J77" si="61">IF(H$12=0,0,H75/H$12)</f>
        <v>4.4876857901917141E-3</v>
      </c>
      <c r="K75" s="1"/>
      <c r="L75" s="1">
        <f t="shared" ref="L75:L77" si="62">+D75-H75</f>
        <v>169</v>
      </c>
      <c r="M75" s="1"/>
      <c r="N75" s="5">
        <f t="shared" ref="N75:N77" si="63">IF(H75=0,0,L75/H75)</f>
        <v>1.3520000000000001</v>
      </c>
      <c r="O75" s="14"/>
      <c r="P75" s="1">
        <f>SUM(OSRRefP22_13x_0)</f>
        <v>423</v>
      </c>
      <c r="Q75" s="1"/>
      <c r="R75" s="5">
        <f t="shared" ref="R75:R77" si="64">IF(P$12=0,0,P75/P$12)</f>
        <v>1.8684612139697295E-2</v>
      </c>
      <c r="S75" s="1"/>
      <c r="T75" s="1">
        <f>SUM(OSRRefT22_13x_0)</f>
        <v>375</v>
      </c>
      <c r="U75" s="1"/>
      <c r="V75" s="5">
        <f t="shared" ref="V75:V77" si="65">IF(T$12=0,0,T75/T$12)</f>
        <v>1.0460834635126088E-2</v>
      </c>
      <c r="W75" s="1"/>
      <c r="X75" s="1">
        <f t="shared" ref="X75:X77" si="66">+P75-T75</f>
        <v>48</v>
      </c>
      <c r="Y75" s="1"/>
      <c r="Z75" s="5">
        <f t="shared" ref="Z75:Z77" si="67">IF(T75=0,0,X75/T75)</f>
        <v>0.128</v>
      </c>
    </row>
    <row r="76" spans="1:26" s="24" customFormat="1" hidden="1" outlineLevel="2" x14ac:dyDescent="0.25">
      <c r="A76" s="29"/>
      <c r="B76" s="11" t="str">
        <f>CONCATENATE("          ", "6303", " - ", "DATA PHONE LINES")</f>
        <v xml:space="preserve">          6303 - DATA PHONE LINES</v>
      </c>
      <c r="C76" s="11"/>
      <c r="D76" s="7"/>
      <c r="E76" s="2"/>
      <c r="F76" s="6">
        <f t="shared" si="60"/>
        <v>0</v>
      </c>
      <c r="G76" s="2"/>
      <c r="H76" s="7">
        <v>50</v>
      </c>
      <c r="I76" s="2"/>
      <c r="J76" s="6">
        <f t="shared" si="61"/>
        <v>1.7950743160766857E-3</v>
      </c>
      <c r="K76" s="2"/>
      <c r="L76" s="7">
        <f t="shared" si="62"/>
        <v>-50</v>
      </c>
      <c r="M76" s="2"/>
      <c r="N76" s="6">
        <f t="shared" si="63"/>
        <v>-1</v>
      </c>
      <c r="O76" s="11"/>
      <c r="P76" s="7"/>
      <c r="Q76" s="2"/>
      <c r="R76" s="6">
        <f t="shared" si="64"/>
        <v>0</v>
      </c>
      <c r="S76" s="2"/>
      <c r="T76" s="7">
        <v>150</v>
      </c>
      <c r="U76" s="2"/>
      <c r="V76" s="6">
        <f t="shared" si="65"/>
        <v>4.1843338540504356E-3</v>
      </c>
      <c r="W76" s="2"/>
      <c r="X76" s="7">
        <f t="shared" si="66"/>
        <v>-150</v>
      </c>
      <c r="Y76" s="2"/>
      <c r="Z76" s="6">
        <f t="shared" si="67"/>
        <v>-1</v>
      </c>
    </row>
    <row r="77" spans="1:26" s="24" customFormat="1" hidden="1" outlineLevel="2" x14ac:dyDescent="0.25">
      <c r="A77" s="29"/>
      <c r="B77" s="11" t="str">
        <f>CONCATENATE("          ", "6309", " - ", "TELEPHONE")</f>
        <v xml:space="preserve">          6309 - TELEPHONE</v>
      </c>
      <c r="C77" s="11"/>
      <c r="D77" s="7">
        <v>294</v>
      </c>
      <c r="E77" s="2"/>
      <c r="F77" s="6">
        <f t="shared" si="60"/>
        <v>1.8256152447566343E-2</v>
      </c>
      <c r="G77" s="2"/>
      <c r="H77" s="7">
        <v>75</v>
      </c>
      <c r="I77" s="2"/>
      <c r="J77" s="6">
        <f t="shared" si="61"/>
        <v>2.6926114741150282E-3</v>
      </c>
      <c r="K77" s="2"/>
      <c r="L77" s="7">
        <f t="shared" si="62"/>
        <v>219</v>
      </c>
      <c r="M77" s="2"/>
      <c r="N77" s="6">
        <f t="shared" si="63"/>
        <v>2.92</v>
      </c>
      <c r="O77" s="11"/>
      <c r="P77" s="7">
        <v>423</v>
      </c>
      <c r="Q77" s="2"/>
      <c r="R77" s="6">
        <f t="shared" si="64"/>
        <v>1.8684612139697295E-2</v>
      </c>
      <c r="S77" s="2"/>
      <c r="T77" s="7">
        <v>225</v>
      </c>
      <c r="U77" s="2"/>
      <c r="V77" s="6">
        <f t="shared" si="65"/>
        <v>6.2765007810756529E-3</v>
      </c>
      <c r="W77" s="2"/>
      <c r="X77" s="7">
        <f t="shared" si="66"/>
        <v>198</v>
      </c>
      <c r="Y77" s="2"/>
      <c r="Z77" s="6">
        <f t="shared" si="67"/>
        <v>0.88</v>
      </c>
    </row>
    <row r="78" spans="1:26" s="28" customFormat="1" outlineLevel="1" collapsed="1" x14ac:dyDescent="0.25">
      <c r="A78" s="27"/>
      <c r="B78" s="14" t="str">
        <f>CONCATENATE("     ","Utilities                                         ")</f>
        <v xml:space="preserve">     Utilities                                         </v>
      </c>
      <c r="C78" s="14"/>
      <c r="D78" s="1">
        <f>SUM(OSRRefD22_14x_0)</f>
        <v>100</v>
      </c>
      <c r="E78" s="1"/>
      <c r="F78" s="5">
        <f t="shared" ref="F78:F79" si="68">IF(D$12=0,0,D78/D$12)</f>
        <v>6.2095756624375321E-3</v>
      </c>
      <c r="G78" s="1"/>
      <c r="H78" s="1">
        <f>SUM(OSRRefH22_14x_0)</f>
        <v>0</v>
      </c>
      <c r="I78" s="1"/>
      <c r="J78" s="5">
        <f t="shared" ref="J78:J79" si="69">IF(H$12=0,0,H78/H$12)</f>
        <v>0</v>
      </c>
      <c r="K78" s="1"/>
      <c r="L78" s="1">
        <f t="shared" ref="L78:L79" si="70">+D78-H78</f>
        <v>100</v>
      </c>
      <c r="M78" s="1"/>
      <c r="N78" s="5">
        <f t="shared" ref="N78:N79" si="71">IF(H78=0,0,L78/H78)</f>
        <v>0</v>
      </c>
      <c r="O78" s="14"/>
      <c r="P78" s="1">
        <f>SUM(OSRRefP22_14x_0)</f>
        <v>300</v>
      </c>
      <c r="Q78" s="1"/>
      <c r="R78" s="5">
        <f t="shared" ref="R78:R79" si="72">IF(P$12=0,0,P78/P$12)</f>
        <v>1.3251497971416521E-2</v>
      </c>
      <c r="S78" s="1"/>
      <c r="T78" s="1">
        <f>SUM(OSRRefT22_14x_0)</f>
        <v>0</v>
      </c>
      <c r="U78" s="1"/>
      <c r="V78" s="5">
        <f t="shared" ref="V78:V79" si="73">IF(T$12=0,0,T78/T$12)</f>
        <v>0</v>
      </c>
      <c r="W78" s="1"/>
      <c r="X78" s="1">
        <f t="shared" ref="X78:X79" si="74">+P78-T78</f>
        <v>300</v>
      </c>
      <c r="Y78" s="1"/>
      <c r="Z78" s="5">
        <f t="shared" ref="Z78:Z79" si="75">IF(T78=0,0,X78/T78)</f>
        <v>0</v>
      </c>
    </row>
    <row r="79" spans="1:26" s="24" customFormat="1" hidden="1" outlineLevel="2" x14ac:dyDescent="0.25">
      <c r="A79" s="29"/>
      <c r="B79" s="11" t="str">
        <f>CONCATENATE("          ", "6274", " - ", "UTILITIES")</f>
        <v xml:space="preserve">          6274 - UTILITIES</v>
      </c>
      <c r="C79" s="11"/>
      <c r="D79" s="7">
        <v>100</v>
      </c>
      <c r="E79" s="2"/>
      <c r="F79" s="6">
        <f t="shared" si="68"/>
        <v>6.2095756624375321E-3</v>
      </c>
      <c r="G79" s="2"/>
      <c r="H79" s="7">
        <v>0</v>
      </c>
      <c r="I79" s="2"/>
      <c r="J79" s="6">
        <f t="shared" si="69"/>
        <v>0</v>
      </c>
      <c r="K79" s="2"/>
      <c r="L79" s="7">
        <f t="shared" si="70"/>
        <v>100</v>
      </c>
      <c r="M79" s="2"/>
      <c r="N79" s="6">
        <f t="shared" si="71"/>
        <v>0</v>
      </c>
      <c r="O79" s="11"/>
      <c r="P79" s="7">
        <v>300</v>
      </c>
      <c r="Q79" s="2"/>
      <c r="R79" s="6">
        <f t="shared" si="72"/>
        <v>1.3251497971416521E-2</v>
      </c>
      <c r="S79" s="2"/>
      <c r="T79" s="7">
        <v>0</v>
      </c>
      <c r="U79" s="2"/>
      <c r="V79" s="6">
        <f t="shared" si="73"/>
        <v>0</v>
      </c>
      <c r="W79" s="2"/>
      <c r="X79" s="7">
        <f t="shared" si="74"/>
        <v>300</v>
      </c>
      <c r="Y79" s="2"/>
      <c r="Z79" s="6">
        <f t="shared" si="75"/>
        <v>0</v>
      </c>
    </row>
    <row r="80" spans="1:26" s="58" customFormat="1" x14ac:dyDescent="0.25">
      <c r="A80" s="36"/>
      <c r="B80" s="36"/>
      <c r="C80" s="36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6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6" t="s">
        <v>293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5" t="s">
        <v>277</v>
      </c>
      <c r="C83" s="25"/>
      <c r="D83" s="21">
        <f>+D21-D23+D81</f>
        <v>-7923.8600000000024</v>
      </c>
      <c r="E83" s="13"/>
      <c r="F83" s="20">
        <f>IF(D$12=0,0,D83/D$12)</f>
        <v>-0.49203808208562277</v>
      </c>
      <c r="G83" s="13"/>
      <c r="H83" s="21">
        <f>+H21-H23+H81</f>
        <v>-18044.49741230769</v>
      </c>
      <c r="I83" s="13"/>
      <c r="J83" s="20">
        <f>IF(H$12=0,0,H83/H$12)</f>
        <v>-0.64782427702691503</v>
      </c>
      <c r="K83" s="16"/>
      <c r="L83" s="21">
        <f>+D83-H83</f>
        <v>10120.637412307688</v>
      </c>
      <c r="M83" s="16"/>
      <c r="N83" s="20">
        <f>IF(H83=0,0,L83/H83)</f>
        <v>-0.5608711166100232</v>
      </c>
      <c r="O83" s="26"/>
      <c r="P83" s="21">
        <f>+P21-P23+P81</f>
        <v>-39439.329999999994</v>
      </c>
      <c r="Q83" s="13"/>
      <c r="R83" s="20">
        <f>IF(P$12=0,0,P83/P$12)</f>
        <v>-1.7421006716300889</v>
      </c>
      <c r="S83" s="13"/>
      <c r="T83" s="21">
        <f>+T21-T23+T81</f>
        <v>-58196.793290000001</v>
      </c>
      <c r="U83" s="13"/>
      <c r="V83" s="20">
        <f>IF(T$12=0,0,T83/T$12)</f>
        <v>-1.6234320824034814</v>
      </c>
      <c r="W83" s="16"/>
      <c r="X83" s="21">
        <f>+P83-T83</f>
        <v>18757.463290000007</v>
      </c>
      <c r="Y83" s="16"/>
      <c r="Z83" s="20">
        <f>IF(T83=0,0,X83/T83)</f>
        <v>-0.32231094240072355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2"/>
      <c r="B85" s="10" t="s">
        <v>128</v>
      </c>
      <c r="C85" s="10"/>
      <c r="D85" s="4">
        <v>1825.64</v>
      </c>
      <c r="E85" s="4"/>
      <c r="F85" s="12">
        <f>IF(D$12=0,0,D85/D$12)</f>
        <v>0.11336449712372457</v>
      </c>
      <c r="G85" s="4"/>
      <c r="H85" s="4">
        <v>2997</v>
      </c>
      <c r="I85" s="4"/>
      <c r="J85" s="12">
        <f>IF(H$12=0,0,H85/H$12)</f>
        <v>0.10759675450563654</v>
      </c>
      <c r="K85" s="4"/>
      <c r="L85" s="4">
        <f>+D85-H85</f>
        <v>-1171.3599999999999</v>
      </c>
      <c r="M85" s="4"/>
      <c r="N85" s="12">
        <f>IF(H85=0,0,L85/H85)</f>
        <v>-0.39084417751084416</v>
      </c>
      <c r="O85" s="10"/>
      <c r="P85" s="4">
        <v>2802.15</v>
      </c>
      <c r="Q85" s="4"/>
      <c r="R85" s="12">
        <f>IF(P$12=0,0,P85/P$12)</f>
        <v>0.12377561680201601</v>
      </c>
      <c r="S85" s="4"/>
      <c r="T85" s="4">
        <v>3892</v>
      </c>
      <c r="U85" s="4"/>
      <c r="V85" s="12">
        <f>IF(T$12=0,0,T85/T$12)</f>
        <v>0.1085695157330953</v>
      </c>
      <c r="W85" s="4"/>
      <c r="X85" s="4">
        <f>+P85-T85</f>
        <v>-1089.8499999999999</v>
      </c>
      <c r="Y85" s="4"/>
      <c r="Z85" s="12">
        <f>IF(T85=0,0,X85/T85)</f>
        <v>-0.28002312435765669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5" t="s">
        <v>126</v>
      </c>
      <c r="C87" s="25"/>
      <c r="D87" s="33">
        <f>+D83-D85</f>
        <v>-9749.5000000000018</v>
      </c>
      <c r="E87" s="13"/>
      <c r="F87" s="31">
        <f>IF(D$12=0,0,D87/D$12)</f>
        <v>-0.60540257920934726</v>
      </c>
      <c r="G87" s="13"/>
      <c r="H87" s="33">
        <f>+H83-H85</f>
        <v>-21041.49741230769</v>
      </c>
      <c r="I87" s="13"/>
      <c r="J87" s="31">
        <f>IF(H$12=0,0,H87/H$12)</f>
        <v>-0.75542103153255147</v>
      </c>
      <c r="K87" s="16"/>
      <c r="L87" s="33">
        <f>D87-H87</f>
        <v>11291.997412307688</v>
      </c>
      <c r="M87" s="16"/>
      <c r="N87" s="31">
        <f>IF(H87=0,0,L87/H87)</f>
        <v>-0.53665369869079382</v>
      </c>
      <c r="O87" s="26"/>
      <c r="P87" s="33">
        <f>+P83-P85</f>
        <v>-42241.479999999996</v>
      </c>
      <c r="Q87" s="13"/>
      <c r="R87" s="31">
        <f>IF(P$12=0,0,P87/P$12)</f>
        <v>-1.865876288432105</v>
      </c>
      <c r="S87" s="13"/>
      <c r="T87" s="33">
        <f>+T83-T85</f>
        <v>-62088.793290000001</v>
      </c>
      <c r="U87" s="13"/>
      <c r="V87" s="31">
        <f>IF(T$12=0,0,T87/T$12)</f>
        <v>-1.7320015981365766</v>
      </c>
      <c r="W87" s="16"/>
      <c r="X87" s="33">
        <f>P87-T87</f>
        <v>19847.313290000006</v>
      </c>
      <c r="Y87" s="16"/>
      <c r="Z87" s="31">
        <f>IF(T87=0,0,X87/T87)</f>
        <v>-0.31966015505082473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5" t="s">
        <v>294</v>
      </c>
      <c r="C90" s="25"/>
      <c r="D90" s="35">
        <f>SUM(D87:D89)</f>
        <v>-9749.5000000000018</v>
      </c>
      <c r="E90" s="13"/>
      <c r="F90" s="34">
        <f>IF(D$12=0,0,D90/D$12)</f>
        <v>-0.60540257920934726</v>
      </c>
      <c r="G90" s="13"/>
      <c r="H90" s="35">
        <f>SUM(H87:H89)</f>
        <v>-21041.49741230769</v>
      </c>
      <c r="I90" s="13"/>
      <c r="J90" s="34">
        <f>IF(H$12=0,0,H90/H$12)</f>
        <v>-0.75542103153255147</v>
      </c>
      <c r="K90" s="16"/>
      <c r="L90" s="35">
        <f>+D90-H90</f>
        <v>11291.997412307688</v>
      </c>
      <c r="M90" s="16"/>
      <c r="N90" s="34">
        <f>IF(H90=0,0,L90/H90)</f>
        <v>-0.53665369869079382</v>
      </c>
      <c r="O90" s="26"/>
      <c r="P90" s="35">
        <f>SUM(P87:P89)</f>
        <v>-42241.479999999996</v>
      </c>
      <c r="Q90" s="13"/>
      <c r="R90" s="34">
        <f>IF(P$12=0,0,P90/P$12)</f>
        <v>-1.865876288432105</v>
      </c>
      <c r="S90" s="13"/>
      <c r="T90" s="35">
        <f>SUM(T87:T89)</f>
        <v>-62088.793290000001</v>
      </c>
      <c r="U90" s="13"/>
      <c r="V90" s="34">
        <f>IF(T$12=0,0,T90/T$12)</f>
        <v>-1.7320015981365766</v>
      </c>
      <c r="W90" s="16"/>
      <c r="X90" s="35">
        <f>+P90-T90</f>
        <v>19847.313290000006</v>
      </c>
      <c r="Y90" s="16"/>
      <c r="Z90" s="34">
        <f>IF(T90=0,0,X90/T90)</f>
        <v>-0.31966015505082473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61">
        <v>44481.978956793981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6" t="s">
        <v>56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54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","327", " - ", "C-Store Vending Machine(s)")</f>
        <v>Department 327 - C-Store Vending Machine(s)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8.7400000000000091</v>
      </c>
      <c r="E12" s="4"/>
      <c r="F12" s="12"/>
      <c r="G12" s="4"/>
      <c r="H12" s="4">
        <f>SUM(OSRRefH13x_0)</f>
        <v>50</v>
      </c>
      <c r="I12" s="4"/>
      <c r="J12" s="12"/>
      <c r="K12" s="4"/>
      <c r="L12" s="4">
        <f t="shared" ref="L12:L15" si="0">+D12-H12</f>
        <v>-41.259999999999991</v>
      </c>
      <c r="M12" s="4"/>
      <c r="N12" s="12">
        <f t="shared" ref="N12:N15" si="1">IF(H12=0,0,L12/H12)</f>
        <v>-0.82519999999999982</v>
      </c>
      <c r="O12" s="10"/>
      <c r="P12" s="4">
        <f>SUM(OSRRefP13x_0)</f>
        <v>139.09</v>
      </c>
      <c r="Q12" s="4"/>
      <c r="R12" s="12"/>
      <c r="S12" s="4"/>
      <c r="T12" s="4">
        <f>SUM(OSRRefT13x_0)</f>
        <v>75</v>
      </c>
      <c r="U12" s="4"/>
      <c r="V12" s="12"/>
      <c r="W12" s="4"/>
      <c r="X12" s="4">
        <f t="shared" ref="X12:X15" si="2">+P12-T12</f>
        <v>64.09</v>
      </c>
      <c r="Y12" s="4"/>
      <c r="Z12" s="12">
        <f t="shared" ref="Z12:Z15" si="3">IF(T12=0,0,X12/T12)</f>
        <v>0.85453333333333337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50</v>
      </c>
      <c r="I13" s="2"/>
      <c r="J13" s="19"/>
      <c r="K13" s="2"/>
      <c r="L13" s="2">
        <f t="shared" si="0"/>
        <v>-50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75</v>
      </c>
      <c r="U13" s="2"/>
      <c r="V13" s="19"/>
      <c r="W13" s="2"/>
      <c r="X13" s="2">
        <f t="shared" si="2"/>
        <v>-75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>--139.09</f>
        <v>139.09</v>
      </c>
      <c r="E14" s="2"/>
      <c r="F14" s="19"/>
      <c r="G14" s="2"/>
      <c r="H14" s="2"/>
      <c r="I14" s="2"/>
      <c r="J14" s="19"/>
      <c r="K14" s="2"/>
      <c r="L14" s="2">
        <f t="shared" si="0"/>
        <v>139.09</v>
      </c>
      <c r="M14" s="2"/>
      <c r="N14" s="19">
        <f t="shared" si="1"/>
        <v>0</v>
      </c>
      <c r="O14" s="11"/>
      <c r="P14" s="2">
        <f>--139.09</f>
        <v>139.09</v>
      </c>
      <c r="Q14" s="2"/>
      <c r="R14" s="19"/>
      <c r="S14" s="2"/>
      <c r="T14" s="2"/>
      <c r="U14" s="2"/>
      <c r="V14" s="19"/>
      <c r="W14" s="2"/>
      <c r="X14" s="2">
        <f t="shared" si="2"/>
        <v>139.09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-130.35</f>
        <v>-130.35</v>
      </c>
      <c r="E15" s="2"/>
      <c r="F15" s="19"/>
      <c r="G15" s="2"/>
      <c r="H15" s="2"/>
      <c r="I15" s="2"/>
      <c r="J15" s="19"/>
      <c r="K15" s="2"/>
      <c r="L15" s="2">
        <f t="shared" si="0"/>
        <v>-130.35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/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257</v>
      </c>
      <c r="C17" s="10"/>
      <c r="D17" s="4">
        <f>SUM(OSRRefD16x_0)</f>
        <v>81.2</v>
      </c>
      <c r="E17" s="4"/>
      <c r="F17" s="12">
        <f t="shared" ref="F17:F20" si="4">IF(D$12=0,0,D17/D$12)</f>
        <v>9.2906178489702427</v>
      </c>
      <c r="G17" s="4"/>
      <c r="H17" s="4">
        <f>SUM(OSRRefH16x_0)</f>
        <v>25</v>
      </c>
      <c r="I17" s="4"/>
      <c r="J17" s="12">
        <f t="shared" ref="J17:J20" si="5">IF(H$12=0,0,H17/H$12)</f>
        <v>0.5</v>
      </c>
      <c r="K17" s="4"/>
      <c r="L17" s="4">
        <f t="shared" ref="L17:L20" si="6">+D17-H17</f>
        <v>56.2</v>
      </c>
      <c r="M17" s="4"/>
      <c r="N17" s="12">
        <f t="shared" ref="N17:N20" si="7">IF(H17=0,0,L17/H17)</f>
        <v>2.2480000000000002</v>
      </c>
      <c r="O17" s="10"/>
      <c r="P17" s="4">
        <f>SUM(OSRRefP16x_0)</f>
        <v>126.2</v>
      </c>
      <c r="Q17" s="4"/>
      <c r="R17" s="12">
        <f t="shared" ref="R17:R20" si="8">IF(P$12=0,0,P17/P$12)</f>
        <v>0.90732619167445538</v>
      </c>
      <c r="S17" s="4"/>
      <c r="T17" s="4">
        <f>SUM(OSRRefT16x_0)</f>
        <v>38</v>
      </c>
      <c r="U17" s="4"/>
      <c r="V17" s="12">
        <f t="shared" ref="V17:V20" si="9">IF(T$12=0,0,T17/T$12)</f>
        <v>0.50666666666666671</v>
      </c>
      <c r="W17" s="4"/>
      <c r="X17" s="4">
        <f t="shared" ref="X17:X20" si="10">+P17-T17</f>
        <v>88.2</v>
      </c>
      <c r="Y17" s="4"/>
      <c r="Z17" s="12">
        <f t="shared" ref="Z17:Z20" si="11">IF(T17=0,0,X17/T17)</f>
        <v>2.3210526315789473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25</v>
      </c>
      <c r="I18" s="2"/>
      <c r="J18" s="19">
        <f t="shared" si="5"/>
        <v>0.5</v>
      </c>
      <c r="K18" s="2"/>
      <c r="L18" s="2">
        <f t="shared" si="6"/>
        <v>-25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38</v>
      </c>
      <c r="U18" s="2"/>
      <c r="V18" s="19">
        <f t="shared" si="9"/>
        <v>0.50666666666666671</v>
      </c>
      <c r="W18" s="2"/>
      <c r="X18" s="2">
        <f t="shared" si="10"/>
        <v>-38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4"/>
        <v>0</v>
      </c>
      <c r="G19" s="2"/>
      <c r="H19" s="2"/>
      <c r="I19" s="2"/>
      <c r="J19" s="19">
        <f t="shared" si="5"/>
        <v>0</v>
      </c>
      <c r="K19" s="2"/>
      <c r="L19" s="2">
        <f t="shared" si="6"/>
        <v>0</v>
      </c>
      <c r="M19" s="2"/>
      <c r="N19" s="19">
        <f t="shared" si="7"/>
        <v>0</v>
      </c>
      <c r="O19" s="11"/>
      <c r="P19" s="2">
        <v>45</v>
      </c>
      <c r="Q19" s="2"/>
      <c r="R19" s="19">
        <f t="shared" si="8"/>
        <v>0.32353152634984539</v>
      </c>
      <c r="S19" s="2"/>
      <c r="T19" s="2"/>
      <c r="U19" s="2"/>
      <c r="V19" s="19">
        <f t="shared" si="9"/>
        <v>0</v>
      </c>
      <c r="W19" s="2"/>
      <c r="X19" s="2">
        <f t="shared" si="10"/>
        <v>45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81.2</v>
      </c>
      <c r="E20" s="2"/>
      <c r="F20" s="19">
        <f t="shared" si="4"/>
        <v>9.2906178489702427</v>
      </c>
      <c r="G20" s="2"/>
      <c r="H20" s="2"/>
      <c r="I20" s="2"/>
      <c r="J20" s="19">
        <f t="shared" si="5"/>
        <v>0</v>
      </c>
      <c r="K20" s="2"/>
      <c r="L20" s="2">
        <f t="shared" si="6"/>
        <v>81.2</v>
      </c>
      <c r="M20" s="2"/>
      <c r="N20" s="19">
        <f t="shared" si="7"/>
        <v>0</v>
      </c>
      <c r="O20" s="11"/>
      <c r="P20" s="2">
        <v>81.2</v>
      </c>
      <c r="Q20" s="2"/>
      <c r="R20" s="19">
        <f t="shared" si="8"/>
        <v>0.58379466532461</v>
      </c>
      <c r="S20" s="2"/>
      <c r="T20" s="2"/>
      <c r="U20" s="2"/>
      <c r="V20" s="19">
        <f t="shared" si="9"/>
        <v>0</v>
      </c>
      <c r="W20" s="2"/>
      <c r="X20" s="2">
        <f t="shared" si="10"/>
        <v>81.2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5" t="s">
        <v>108</v>
      </c>
      <c r="C22" s="25"/>
      <c r="D22" s="21">
        <f>D12-D17</f>
        <v>-72.459999999999994</v>
      </c>
      <c r="E22" s="13"/>
      <c r="F22" s="20">
        <f>IF(D$12=0,0,D22/D$12)</f>
        <v>-8.2906178489702427</v>
      </c>
      <c r="G22" s="13"/>
      <c r="H22" s="21">
        <f>H12-H17</f>
        <v>25</v>
      </c>
      <c r="I22" s="13"/>
      <c r="J22" s="20">
        <f>IF(H$12=0,0,H22/H$12)</f>
        <v>0.5</v>
      </c>
      <c r="K22" s="16"/>
      <c r="L22" s="21">
        <f>+D22-H22</f>
        <v>-97.46</v>
      </c>
      <c r="M22" s="16"/>
      <c r="N22" s="20">
        <f>IF(H22=0,0,L22/H22)</f>
        <v>-3.8983999999999996</v>
      </c>
      <c r="O22" s="26"/>
      <c r="P22" s="21">
        <f>P12-P17</f>
        <v>12.89</v>
      </c>
      <c r="Q22" s="13"/>
      <c r="R22" s="20">
        <f>IF(P$12=0,0,P22/P$12)</f>
        <v>9.2673808325544615E-2</v>
      </c>
      <c r="S22" s="13"/>
      <c r="T22" s="21">
        <f>T12-T17</f>
        <v>37</v>
      </c>
      <c r="U22" s="13"/>
      <c r="V22" s="20">
        <f>IF(T$12=0,0,T22/T$12)</f>
        <v>0.49333333333333335</v>
      </c>
      <c r="W22" s="16"/>
      <c r="X22" s="21">
        <f>+P22-T22</f>
        <v>-24.11</v>
      </c>
      <c r="Y22" s="16"/>
      <c r="Z22" s="20">
        <f>IF(T22=0,0,X22/T22)</f>
        <v>-0.65162162162162163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6" t="s">
        <v>295</v>
      </c>
      <c r="C24" s="10"/>
      <c r="D24" s="22">
        <f>SUM(OSRRefD22x_0)</f>
        <v>172.64</v>
      </c>
      <c r="E24" s="22"/>
      <c r="F24" s="32">
        <f t="shared" ref="F24:F26" si="12">IF(D$12=0,0,D24/D$12)</f>
        <v>19.752860411899292</v>
      </c>
      <c r="G24" s="22"/>
      <c r="H24" s="22">
        <f>SUM(OSRRefH22x_0)</f>
        <v>4.5</v>
      </c>
      <c r="I24" s="22"/>
      <c r="J24" s="32">
        <f t="shared" ref="J24:J26" si="13">IF(H$12=0,0,H24/H$12)</f>
        <v>0.09</v>
      </c>
      <c r="K24" s="4"/>
      <c r="L24" s="22">
        <f t="shared" ref="L24:L26" si="14">+D24-H24</f>
        <v>168.14</v>
      </c>
      <c r="M24" s="4"/>
      <c r="N24" s="32">
        <f t="shared" ref="N24:N26" si="15">IF(H24=0,0,L24/H24)</f>
        <v>37.364444444444445</v>
      </c>
      <c r="O24" s="10"/>
      <c r="P24" s="22">
        <f>SUM(OSRRefP22x_0)</f>
        <v>172.64</v>
      </c>
      <c r="Q24" s="22"/>
      <c r="R24" s="32">
        <f t="shared" ref="R24:R26" si="16">IF(P$12=0,0,P24/P$12)</f>
        <v>1.2412107268674957</v>
      </c>
      <c r="S24" s="22"/>
      <c r="T24" s="22">
        <f>SUM(OSRRefT22x_0)</f>
        <v>6.75</v>
      </c>
      <c r="U24" s="22"/>
      <c r="V24" s="32">
        <f t="shared" ref="V24:V26" si="17">IF(T$12=0,0,T24/T$12)</f>
        <v>0.09</v>
      </c>
      <c r="W24" s="4"/>
      <c r="X24" s="22">
        <f t="shared" ref="X24:X26" si="18">+P24-T24</f>
        <v>165.89</v>
      </c>
      <c r="Y24" s="4"/>
      <c r="Z24" s="32">
        <f t="shared" ref="Z24:Z26" si="19">IF(T24=0,0,X24/T24)</f>
        <v>24.576296296296295</v>
      </c>
    </row>
    <row r="25" spans="1:26" s="28" customFormat="1" outlineLevel="1" collapsed="1" x14ac:dyDescent="0.25">
      <c r="A25" s="27"/>
      <c r="B25" s="14" t="str">
        <f>CONCATENATE("     ","Bank/card Fees                                    ")</f>
        <v xml:space="preserve">     Bank/card Fees                                    </v>
      </c>
      <c r="C25" s="14"/>
      <c r="D25" s="1">
        <f>SUM(OSRRefD22_0x_0)</f>
        <v>172.64</v>
      </c>
      <c r="E25" s="1"/>
      <c r="F25" s="5">
        <f t="shared" si="12"/>
        <v>19.752860411899292</v>
      </c>
      <c r="G25" s="1"/>
      <c r="H25" s="1">
        <f>SUM(OSRRefH22_0x_0)</f>
        <v>4.5</v>
      </c>
      <c r="I25" s="1"/>
      <c r="J25" s="5">
        <f t="shared" si="13"/>
        <v>0.09</v>
      </c>
      <c r="K25" s="1"/>
      <c r="L25" s="1">
        <f t="shared" si="14"/>
        <v>168.14</v>
      </c>
      <c r="M25" s="1"/>
      <c r="N25" s="5">
        <f t="shared" si="15"/>
        <v>37.364444444444445</v>
      </c>
      <c r="O25" s="14"/>
      <c r="P25" s="1">
        <f>SUM(OSRRefP22_0x_0)</f>
        <v>172.64</v>
      </c>
      <c r="Q25" s="1"/>
      <c r="R25" s="5">
        <f t="shared" si="16"/>
        <v>1.2412107268674957</v>
      </c>
      <c r="S25" s="1"/>
      <c r="T25" s="1">
        <f>SUM(OSRRefT22_0x_0)</f>
        <v>6.75</v>
      </c>
      <c r="U25" s="1"/>
      <c r="V25" s="5">
        <f t="shared" si="17"/>
        <v>0.09</v>
      </c>
      <c r="W25" s="1"/>
      <c r="X25" s="1">
        <f t="shared" si="18"/>
        <v>165.89</v>
      </c>
      <c r="Y25" s="1"/>
      <c r="Z25" s="5">
        <f t="shared" si="19"/>
        <v>24.576296296296295</v>
      </c>
    </row>
    <row r="26" spans="1:26" s="24" customFormat="1" hidden="1" outlineLevel="2" x14ac:dyDescent="0.25">
      <c r="A26" s="29"/>
      <c r="B26" s="11" t="str">
        <f>CONCATENATE("          ", "6381", " - ", "BANK/CREDIT CARD FEES")</f>
        <v xml:space="preserve">          6381 - BANK/CREDIT CARD FEES</v>
      </c>
      <c r="C26" s="11"/>
      <c r="D26" s="7">
        <v>172.64</v>
      </c>
      <c r="E26" s="2"/>
      <c r="F26" s="6">
        <f t="shared" si="12"/>
        <v>19.752860411899292</v>
      </c>
      <c r="G26" s="2"/>
      <c r="H26" s="7">
        <v>4.5</v>
      </c>
      <c r="I26" s="2"/>
      <c r="J26" s="6">
        <f t="shared" si="13"/>
        <v>0.09</v>
      </c>
      <c r="K26" s="2"/>
      <c r="L26" s="7">
        <f t="shared" si="14"/>
        <v>168.14</v>
      </c>
      <c r="M26" s="2"/>
      <c r="N26" s="6">
        <f t="shared" si="15"/>
        <v>37.364444444444445</v>
      </c>
      <c r="O26" s="11"/>
      <c r="P26" s="7">
        <v>172.64</v>
      </c>
      <c r="Q26" s="2"/>
      <c r="R26" s="6">
        <f t="shared" si="16"/>
        <v>1.2412107268674957</v>
      </c>
      <c r="S26" s="2"/>
      <c r="T26" s="7">
        <v>6.75</v>
      </c>
      <c r="U26" s="2"/>
      <c r="V26" s="6">
        <f t="shared" si="17"/>
        <v>0.09</v>
      </c>
      <c r="W26" s="2"/>
      <c r="X26" s="7">
        <f t="shared" si="18"/>
        <v>165.89</v>
      </c>
      <c r="Y26" s="2"/>
      <c r="Z26" s="6">
        <f t="shared" si="19"/>
        <v>24.576296296296295</v>
      </c>
    </row>
    <row r="27" spans="1:26" s="58" customFormat="1" x14ac:dyDescent="0.25">
      <c r="A27" s="36"/>
      <c r="B27" s="36"/>
      <c r="C27" s="36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6" t="s">
        <v>293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5" t="s">
        <v>277</v>
      </c>
      <c r="C30" s="25"/>
      <c r="D30" s="21">
        <f>+D22-D24+D28</f>
        <v>-245.09999999999997</v>
      </c>
      <c r="E30" s="13"/>
      <c r="F30" s="20">
        <f>IF(D$12=0,0,D30/D$12)</f>
        <v>-28.043478260869531</v>
      </c>
      <c r="G30" s="13"/>
      <c r="H30" s="21">
        <f>+H22-H24+H28</f>
        <v>20.5</v>
      </c>
      <c r="I30" s="13"/>
      <c r="J30" s="20">
        <f>IF(H$12=0,0,H30/H$12)</f>
        <v>0.41</v>
      </c>
      <c r="K30" s="16"/>
      <c r="L30" s="21">
        <f>+D30-H30</f>
        <v>-265.59999999999997</v>
      </c>
      <c r="M30" s="16"/>
      <c r="N30" s="20">
        <f>IF(H30=0,0,L30/H30)</f>
        <v>-12.956097560975609</v>
      </c>
      <c r="O30" s="26"/>
      <c r="P30" s="21">
        <f>+P22-P24+P28</f>
        <v>-159.75</v>
      </c>
      <c r="Q30" s="13"/>
      <c r="R30" s="20">
        <f>IF(P$12=0,0,P30/P$12)</f>
        <v>-1.1485369185419512</v>
      </c>
      <c r="S30" s="13"/>
      <c r="T30" s="21">
        <f>+T22-T24+T28</f>
        <v>30.25</v>
      </c>
      <c r="U30" s="13"/>
      <c r="V30" s="20">
        <f>IF(T$12=0,0,T30/T$12)</f>
        <v>0.40333333333333332</v>
      </c>
      <c r="W30" s="16"/>
      <c r="X30" s="21">
        <f>+P30-T30</f>
        <v>-190</v>
      </c>
      <c r="Y30" s="16"/>
      <c r="Z30" s="20">
        <f>IF(T30=0,0,X30/T30)</f>
        <v>-6.2809917355371905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2"/>
      <c r="B32" s="10" t="s">
        <v>128</v>
      </c>
      <c r="C32" s="10"/>
      <c r="D32" s="4">
        <v>-2.2599999999999998</v>
      </c>
      <c r="E32" s="4"/>
      <c r="F32" s="12">
        <f>IF(D$12=0,0,D32/D$12)</f>
        <v>-0.25858123569794023</v>
      </c>
      <c r="G32" s="4"/>
      <c r="H32" s="4">
        <v>5</v>
      </c>
      <c r="I32" s="4"/>
      <c r="J32" s="12">
        <f>IF(H$12=0,0,H32/H$12)</f>
        <v>0.1</v>
      </c>
      <c r="K32" s="4"/>
      <c r="L32" s="4">
        <f>+D32-H32</f>
        <v>-7.26</v>
      </c>
      <c r="M32" s="4"/>
      <c r="N32" s="12">
        <f>IF(H32=0,0,L32/H32)</f>
        <v>-1.452</v>
      </c>
      <c r="O32" s="10"/>
      <c r="P32" s="4">
        <v>17.22</v>
      </c>
      <c r="Q32" s="4"/>
      <c r="R32" s="12">
        <f>IF(P$12=0,0,P32/P$12)</f>
        <v>0.12380473074987416</v>
      </c>
      <c r="S32" s="4"/>
      <c r="T32" s="4">
        <v>8</v>
      </c>
      <c r="U32" s="4"/>
      <c r="V32" s="12">
        <f>IF(T$12=0,0,T32/T$12)</f>
        <v>0.10666666666666667</v>
      </c>
      <c r="W32" s="4"/>
      <c r="X32" s="4">
        <f>+P32-T32</f>
        <v>9.2199999999999989</v>
      </c>
      <c r="Y32" s="4"/>
      <c r="Z32" s="12">
        <f>IF(T32=0,0,X32/T32)</f>
        <v>1.1524999999999999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5" t="s">
        <v>126</v>
      </c>
      <c r="C34" s="25"/>
      <c r="D34" s="33">
        <f>+D30-D32</f>
        <v>-242.83999999999997</v>
      </c>
      <c r="E34" s="13"/>
      <c r="F34" s="31">
        <f>IF(D$12=0,0,D34/D$12)</f>
        <v>-27.784897025171592</v>
      </c>
      <c r="G34" s="13"/>
      <c r="H34" s="33">
        <f>+H30-H32</f>
        <v>15.5</v>
      </c>
      <c r="I34" s="13"/>
      <c r="J34" s="31">
        <f>IF(H$12=0,0,H34/H$12)</f>
        <v>0.31</v>
      </c>
      <c r="K34" s="16"/>
      <c r="L34" s="33">
        <f>D34-H34</f>
        <v>-258.33999999999997</v>
      </c>
      <c r="M34" s="16"/>
      <c r="N34" s="31">
        <f>IF(H34=0,0,L34/H34)</f>
        <v>-16.667096774193546</v>
      </c>
      <c r="O34" s="26"/>
      <c r="P34" s="33">
        <f>+P30-P32</f>
        <v>-176.97</v>
      </c>
      <c r="Q34" s="13"/>
      <c r="R34" s="31">
        <f>IF(P$12=0,0,P34/P$12)</f>
        <v>-1.2723416492918254</v>
      </c>
      <c r="S34" s="13"/>
      <c r="T34" s="33">
        <f>+T30-T32</f>
        <v>22.25</v>
      </c>
      <c r="U34" s="13"/>
      <c r="V34" s="31">
        <f>IF(T$12=0,0,T34/T$12)</f>
        <v>0.29666666666666669</v>
      </c>
      <c r="W34" s="16"/>
      <c r="X34" s="33">
        <f>P34-T34</f>
        <v>-199.22</v>
      </c>
      <c r="Y34" s="16"/>
      <c r="Z34" s="31">
        <f>IF(T34=0,0,X34/T34)</f>
        <v>-8.9537078651685391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5" t="s">
        <v>294</v>
      </c>
      <c r="C37" s="25"/>
      <c r="D37" s="35">
        <f>SUM(D34:D36)</f>
        <v>-242.83999999999997</v>
      </c>
      <c r="E37" s="13"/>
      <c r="F37" s="34">
        <f>IF(D$12=0,0,D37/D$12)</f>
        <v>-27.784897025171592</v>
      </c>
      <c r="G37" s="13"/>
      <c r="H37" s="35">
        <f>SUM(H34:H36)</f>
        <v>15.5</v>
      </c>
      <c r="I37" s="13"/>
      <c r="J37" s="34">
        <f>IF(H$12=0,0,H37/H$12)</f>
        <v>0.31</v>
      </c>
      <c r="K37" s="16"/>
      <c r="L37" s="35">
        <f>+D37-H37</f>
        <v>-258.33999999999997</v>
      </c>
      <c r="M37" s="16"/>
      <c r="N37" s="34">
        <f>IF(H37=0,0,L37/H37)</f>
        <v>-16.667096774193546</v>
      </c>
      <c r="O37" s="26"/>
      <c r="P37" s="35">
        <f>SUM(P34:P36)</f>
        <v>-176.97</v>
      </c>
      <c r="Q37" s="13"/>
      <c r="R37" s="34">
        <f>IF(P$12=0,0,P37/P$12)</f>
        <v>-1.2723416492918254</v>
      </c>
      <c r="S37" s="13"/>
      <c r="T37" s="35">
        <f>SUM(T34:T36)</f>
        <v>22.25</v>
      </c>
      <c r="U37" s="13"/>
      <c r="V37" s="34">
        <f>IF(T$12=0,0,T37/T$12)</f>
        <v>0.29666666666666669</v>
      </c>
      <c r="W37" s="16"/>
      <c r="X37" s="35">
        <f>+P37-T37</f>
        <v>-199.22</v>
      </c>
      <c r="Y37" s="16"/>
      <c r="Z37" s="34">
        <f>IF(T37=0,0,X37/T37)</f>
        <v>-8.9537078651685391</v>
      </c>
    </row>
    <row r="38" spans="1:26" ht="15.75" thickTop="1" x14ac:dyDescent="0.25">
      <c r="A38" s="9"/>
      <c r="C38" s="9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1">
        <v>44481.978956793981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 t="s">
        <v>56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54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218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  <outlinePr summaryBelow="0" summaryRight="0"/>
  </sheetPr>
  <dimension ref="A2:Z12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200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1556759.41</v>
      </c>
      <c r="E12" s="4"/>
      <c r="F12" s="12"/>
      <c r="G12" s="4"/>
      <c r="H12" s="4">
        <f>SUM(OSRRefH13x_0)</f>
        <v>1248701</v>
      </c>
      <c r="I12" s="4"/>
      <c r="J12" s="12"/>
      <c r="K12" s="4"/>
      <c r="L12" s="4">
        <f t="shared" ref="L12:L18" si="0">+D12-H12</f>
        <v>308058.40999999992</v>
      </c>
      <c r="M12" s="4"/>
      <c r="N12" s="12">
        <f t="shared" ref="N12:N18" si="1">IF(H12=0,0,L12/H12)</f>
        <v>0.24670310186345643</v>
      </c>
      <c r="O12" s="10"/>
      <c r="P12" s="4">
        <f>SUM(OSRRefP13x_0)</f>
        <v>2134952.0499999998</v>
      </c>
      <c r="Q12" s="4"/>
      <c r="R12" s="12"/>
      <c r="S12" s="4"/>
      <c r="T12" s="4">
        <f>SUM(OSRRefT13x_0)</f>
        <v>1584490</v>
      </c>
      <c r="U12" s="4"/>
      <c r="V12" s="12"/>
      <c r="W12" s="4"/>
      <c r="X12" s="4">
        <f t="shared" ref="X12:X18" si="2">+P12-T12</f>
        <v>550462.04999999981</v>
      </c>
      <c r="Y12" s="4"/>
      <c r="Z12" s="12">
        <f t="shared" ref="Z12:Z18" si="3">IF(T12=0,0,X12/T12)</f>
        <v>0.34740645254940061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36592</v>
      </c>
      <c r="I13" s="2"/>
      <c r="J13" s="19"/>
      <c r="K13" s="2"/>
      <c r="L13" s="2">
        <f t="shared" si="0"/>
        <v>-36592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53638</v>
      </c>
      <c r="U13" s="2"/>
      <c r="V13" s="19"/>
      <c r="W13" s="2"/>
      <c r="X13" s="2">
        <f t="shared" si="2"/>
        <v>-53638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--33705.87</f>
        <v>33705.870000000003</v>
      </c>
      <c r="E14" s="2"/>
      <c r="F14" s="19"/>
      <c r="G14" s="2"/>
      <c r="H14" s="2"/>
      <c r="I14" s="2"/>
      <c r="J14" s="19"/>
      <c r="K14" s="2"/>
      <c r="L14" s="2">
        <f t="shared" si="0"/>
        <v>33705.870000000003</v>
      </c>
      <c r="M14" s="2"/>
      <c r="N14" s="19">
        <f t="shared" si="1"/>
        <v>0</v>
      </c>
      <c r="O14" s="11"/>
      <c r="P14" s="2">
        <f>--64976.31</f>
        <v>64976.31</v>
      </c>
      <c r="Q14" s="2"/>
      <c r="R14" s="19"/>
      <c r="S14" s="2"/>
      <c r="T14" s="2"/>
      <c r="U14" s="2"/>
      <c r="V14" s="19"/>
      <c r="W14" s="2"/>
      <c r="X14" s="2">
        <f t="shared" si="2"/>
        <v>64976.31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--644.1</f>
        <v>644.1</v>
      </c>
      <c r="E15" s="2"/>
      <c r="F15" s="19"/>
      <c r="G15" s="2"/>
      <c r="H15" s="2"/>
      <c r="I15" s="2"/>
      <c r="J15" s="19"/>
      <c r="K15" s="2"/>
      <c r="L15" s="2">
        <f t="shared" si="0"/>
        <v>644.1</v>
      </c>
      <c r="M15" s="2"/>
      <c r="N15" s="19">
        <f t="shared" si="1"/>
        <v>0</v>
      </c>
      <c r="O15" s="11"/>
      <c r="P15" s="2">
        <f>--1134.93</f>
        <v>1134.93</v>
      </c>
      <c r="Q15" s="2"/>
      <c r="R15" s="19"/>
      <c r="S15" s="2"/>
      <c r="T15" s="2"/>
      <c r="U15" s="2"/>
      <c r="V15" s="19"/>
      <c r="W15" s="2"/>
      <c r="X15" s="2">
        <f t="shared" si="2"/>
        <v>1134.93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0</f>
        <v>0</v>
      </c>
      <c r="E16" s="2"/>
      <c r="F16" s="19"/>
      <c r="G16" s="2"/>
      <c r="H16" s="2">
        <v>1212109</v>
      </c>
      <c r="I16" s="2"/>
      <c r="J16" s="19"/>
      <c r="K16" s="2"/>
      <c r="L16" s="2">
        <f t="shared" si="0"/>
        <v>-1212109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v>1530852</v>
      </c>
      <c r="U16" s="2"/>
      <c r="V16" s="19"/>
      <c r="W16" s="2"/>
      <c r="X16" s="2">
        <f t="shared" si="2"/>
        <v>-1530852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>--1509200.13</f>
        <v>1509200.13</v>
      </c>
      <c r="E17" s="2"/>
      <c r="F17" s="19"/>
      <c r="G17" s="2"/>
      <c r="H17" s="2"/>
      <c r="I17" s="2"/>
      <c r="J17" s="19"/>
      <c r="K17" s="2"/>
      <c r="L17" s="2">
        <f t="shared" si="0"/>
        <v>1509200.13</v>
      </c>
      <c r="M17" s="2"/>
      <c r="N17" s="19">
        <f t="shared" si="1"/>
        <v>0</v>
      </c>
      <c r="O17" s="11"/>
      <c r="P17" s="2">
        <f>--2036563.48</f>
        <v>2036563.48</v>
      </c>
      <c r="Q17" s="2"/>
      <c r="R17" s="19"/>
      <c r="S17" s="2"/>
      <c r="T17" s="2"/>
      <c r="U17" s="2"/>
      <c r="V17" s="19"/>
      <c r="W17" s="2"/>
      <c r="X17" s="2">
        <f t="shared" si="2"/>
        <v>2036563.48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"4153", " - ", "NON-TAXABLE SALES-FOOD")</f>
        <v xml:space="preserve">          4153 - NON-TAXABLE SALES-FOOD</v>
      </c>
      <c r="C18" s="11"/>
      <c r="D18" s="2">
        <f>--13209.31</f>
        <v>13209.31</v>
      </c>
      <c r="E18" s="2"/>
      <c r="F18" s="19"/>
      <c r="G18" s="2"/>
      <c r="H18" s="2"/>
      <c r="I18" s="2"/>
      <c r="J18" s="19"/>
      <c r="K18" s="2"/>
      <c r="L18" s="2">
        <f t="shared" si="0"/>
        <v>13209.31</v>
      </c>
      <c r="M18" s="2"/>
      <c r="N18" s="19">
        <f t="shared" si="1"/>
        <v>0</v>
      </c>
      <c r="O18" s="11"/>
      <c r="P18" s="2">
        <f>--32277.33</f>
        <v>32277.33</v>
      </c>
      <c r="Q18" s="2"/>
      <c r="R18" s="19"/>
      <c r="S18" s="2"/>
      <c r="T18" s="2"/>
      <c r="U18" s="2"/>
      <c r="V18" s="19"/>
      <c r="W18" s="2"/>
      <c r="X18" s="2">
        <f t="shared" si="2"/>
        <v>32277.33</v>
      </c>
      <c r="Y18" s="2"/>
      <c r="Z18" s="19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6" t="s">
        <v>257</v>
      </c>
      <c r="C20" s="10"/>
      <c r="D20" s="4">
        <f>SUM(OSRRefD16x_0)</f>
        <v>408049.86</v>
      </c>
      <c r="E20" s="4"/>
      <c r="F20" s="12">
        <f t="shared" ref="F20:F23" si="4">IF(D$12=0,0,D20/D$12)</f>
        <v>0.26211491472532678</v>
      </c>
      <c r="G20" s="4"/>
      <c r="H20" s="4">
        <f>SUM(OSRRefH16x_0)</f>
        <v>347683</v>
      </c>
      <c r="I20" s="4"/>
      <c r="J20" s="12">
        <f t="shared" ref="J20:J23" si="5">IF(H$12=0,0,H20/H$12)</f>
        <v>0.27843575043184876</v>
      </c>
      <c r="K20" s="4"/>
      <c r="L20" s="4">
        <f t="shared" ref="L20:L23" si="6">+D20-H20</f>
        <v>60366.859999999986</v>
      </c>
      <c r="M20" s="4"/>
      <c r="N20" s="12">
        <f t="shared" ref="N20:N23" si="7">IF(H20=0,0,L20/H20)</f>
        <v>0.1736261479566156</v>
      </c>
      <c r="O20" s="10"/>
      <c r="P20" s="4">
        <f>SUM(OSRRefP16x_0)</f>
        <v>619582.53</v>
      </c>
      <c r="Q20" s="4"/>
      <c r="R20" s="12">
        <f t="shared" ref="R20:R23" si="8">IF(P$12=0,0,P20/P$12)</f>
        <v>0.29020910797504801</v>
      </c>
      <c r="S20" s="4"/>
      <c r="T20" s="4">
        <f>SUM(OSRRefT16x_0)</f>
        <v>512189</v>
      </c>
      <c r="U20" s="4"/>
      <c r="V20" s="12">
        <f t="shared" ref="V20:V23" si="9">IF(T$12=0,0,T20/T$12)</f>
        <v>0.32325164563992198</v>
      </c>
      <c r="W20" s="4"/>
      <c r="X20" s="4">
        <f t="shared" ref="X20:X23" si="10">+P20-T20</f>
        <v>107393.53000000003</v>
      </c>
      <c r="Y20" s="4"/>
      <c r="Z20" s="12">
        <f t="shared" ref="Z20:Z23" si="11">IF(T20=0,0,X20/T20)</f>
        <v>0.20967558850346266</v>
      </c>
    </row>
    <row r="21" spans="1:26" s="24" customFormat="1" hidden="1" outlineLevel="1" x14ac:dyDescent="0.25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4"/>
        <v>0</v>
      </c>
      <c r="G21" s="2"/>
      <c r="H21" s="2">
        <v>347683</v>
      </c>
      <c r="I21" s="2"/>
      <c r="J21" s="19">
        <f t="shared" si="5"/>
        <v>0.27843575043184876</v>
      </c>
      <c r="K21" s="2"/>
      <c r="L21" s="2">
        <f t="shared" si="6"/>
        <v>-347683</v>
      </c>
      <c r="M21" s="2"/>
      <c r="N21" s="19">
        <f t="shared" si="7"/>
        <v>-1</v>
      </c>
      <c r="O21" s="11"/>
      <c r="P21" s="2"/>
      <c r="Q21" s="2"/>
      <c r="R21" s="19">
        <f t="shared" si="8"/>
        <v>0</v>
      </c>
      <c r="S21" s="2"/>
      <c r="T21" s="2">
        <v>512189</v>
      </c>
      <c r="U21" s="2"/>
      <c r="V21" s="19">
        <f t="shared" si="9"/>
        <v>0.32325164563992198</v>
      </c>
      <c r="W21" s="2"/>
      <c r="X21" s="2">
        <f t="shared" si="10"/>
        <v>-512189</v>
      </c>
      <c r="Y21" s="2"/>
      <c r="Z21" s="19">
        <f t="shared" si="11"/>
        <v>-1</v>
      </c>
    </row>
    <row r="22" spans="1:26" s="24" customFormat="1" hidden="1" outlineLevel="1" x14ac:dyDescent="0.25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409942.26</v>
      </c>
      <c r="E22" s="2"/>
      <c r="F22" s="19">
        <f t="shared" si="4"/>
        <v>0.26333051682019382</v>
      </c>
      <c r="G22" s="2"/>
      <c r="H22" s="2"/>
      <c r="I22" s="2"/>
      <c r="J22" s="19">
        <f t="shared" si="5"/>
        <v>0</v>
      </c>
      <c r="K22" s="2"/>
      <c r="L22" s="2">
        <f t="shared" si="6"/>
        <v>409942.26</v>
      </c>
      <c r="M22" s="2"/>
      <c r="N22" s="19">
        <f t="shared" si="7"/>
        <v>0</v>
      </c>
      <c r="O22" s="11"/>
      <c r="P22" s="2">
        <v>692911.93</v>
      </c>
      <c r="Q22" s="2"/>
      <c r="R22" s="19">
        <f t="shared" si="8"/>
        <v>0.32455620256202011</v>
      </c>
      <c r="S22" s="2"/>
      <c r="T22" s="2"/>
      <c r="U22" s="2"/>
      <c r="V22" s="19">
        <f t="shared" si="9"/>
        <v>0</v>
      </c>
      <c r="W22" s="2"/>
      <c r="X22" s="2">
        <f t="shared" si="10"/>
        <v>692911.93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-1892.4</v>
      </c>
      <c r="E23" s="2"/>
      <c r="F23" s="19">
        <f t="shared" si="4"/>
        <v>-1.2156020948670548E-3</v>
      </c>
      <c r="G23" s="2"/>
      <c r="H23" s="2"/>
      <c r="I23" s="2"/>
      <c r="J23" s="19">
        <f t="shared" si="5"/>
        <v>0</v>
      </c>
      <c r="K23" s="2"/>
      <c r="L23" s="2">
        <f t="shared" si="6"/>
        <v>-1892.4</v>
      </c>
      <c r="M23" s="2"/>
      <c r="N23" s="19">
        <f t="shared" si="7"/>
        <v>0</v>
      </c>
      <c r="O23" s="11"/>
      <c r="P23" s="2">
        <v>-73329.399999999994</v>
      </c>
      <c r="Q23" s="2"/>
      <c r="R23" s="19">
        <f t="shared" si="8"/>
        <v>-3.4347094586972104E-2</v>
      </c>
      <c r="S23" s="2"/>
      <c r="T23" s="2"/>
      <c r="U23" s="2"/>
      <c r="V23" s="19">
        <f t="shared" si="9"/>
        <v>0</v>
      </c>
      <c r="W23" s="2"/>
      <c r="X23" s="2">
        <f t="shared" si="10"/>
        <v>-73329.399999999994</v>
      </c>
      <c r="Y23" s="2"/>
      <c r="Z23" s="19">
        <f t="shared" si="11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5" t="s">
        <v>108</v>
      </c>
      <c r="C25" s="25"/>
      <c r="D25" s="21">
        <f>D12-D20</f>
        <v>1148709.5499999998</v>
      </c>
      <c r="E25" s="13"/>
      <c r="F25" s="20">
        <f>IF(D$12=0,0,D25/D$12)</f>
        <v>0.73788508527467311</v>
      </c>
      <c r="G25" s="13"/>
      <c r="H25" s="21">
        <f>H12-H20</f>
        <v>901018</v>
      </c>
      <c r="I25" s="13"/>
      <c r="J25" s="20">
        <f>IF(H$12=0,0,H25/H$12)</f>
        <v>0.72156424956815124</v>
      </c>
      <c r="K25" s="16"/>
      <c r="L25" s="21">
        <f>+D25-H25</f>
        <v>247691.54999999981</v>
      </c>
      <c r="M25" s="16"/>
      <c r="N25" s="20">
        <f>IF(H25=0,0,L25/H25)</f>
        <v>0.27490188875249977</v>
      </c>
      <c r="O25" s="26"/>
      <c r="P25" s="21">
        <f>P12-P20</f>
        <v>1515369.5199999998</v>
      </c>
      <c r="Q25" s="13"/>
      <c r="R25" s="20">
        <f>IF(P$12=0,0,P25/P$12)</f>
        <v>0.70979089202495205</v>
      </c>
      <c r="S25" s="13"/>
      <c r="T25" s="21">
        <f>T12-T20</f>
        <v>1072301</v>
      </c>
      <c r="U25" s="13"/>
      <c r="V25" s="20">
        <f>IF(T$12=0,0,T25/T$12)</f>
        <v>0.67674835436007796</v>
      </c>
      <c r="W25" s="16"/>
      <c r="X25" s="21">
        <f>+P25-T25</f>
        <v>443068.51999999979</v>
      </c>
      <c r="Y25" s="16"/>
      <c r="Z25" s="20">
        <f>IF(T25=0,0,X25/T25)</f>
        <v>0.41319416842845413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6" t="s">
        <v>295</v>
      </c>
      <c r="C27" s="10"/>
      <c r="D27" s="22">
        <f>SUM(OSRRefD22x_0)</f>
        <v>673495.39</v>
      </c>
      <c r="E27" s="22"/>
      <c r="F27" s="32">
        <f t="shared" ref="F27:F38" si="12">IF(D$12=0,0,D27/D$12)</f>
        <v>0.43262650970582539</v>
      </c>
      <c r="G27" s="22"/>
      <c r="H27" s="22">
        <f>SUM(OSRRefH22x_0)</f>
        <v>730011.9807731274</v>
      </c>
      <c r="I27" s="22"/>
      <c r="J27" s="32">
        <f t="shared" ref="J27:J38" si="13">IF(H$12=0,0,H27/H$12)</f>
        <v>0.58461711872828437</v>
      </c>
      <c r="K27" s="4"/>
      <c r="L27" s="22">
        <f t="shared" ref="L27:L38" si="14">+D27-H27</f>
        <v>-56516.590773127391</v>
      </c>
      <c r="M27" s="4"/>
      <c r="N27" s="32">
        <f t="shared" ref="N27:N38" si="15">IF(H27=0,0,L27/H27)</f>
        <v>-7.7418716763076767E-2</v>
      </c>
      <c r="O27" s="10"/>
      <c r="P27" s="22">
        <f>SUM(OSRRefP22x_0)</f>
        <v>1528981.0999999994</v>
      </c>
      <c r="Q27" s="22"/>
      <c r="R27" s="32">
        <f t="shared" ref="R27:R38" si="16">IF(P$12=0,0,P27/P$12)</f>
        <v>0.71616648252123483</v>
      </c>
      <c r="S27" s="22"/>
      <c r="T27" s="22">
        <f>SUM(OSRRefT22x_0)</f>
        <v>1818311.5691668009</v>
      </c>
      <c r="U27" s="22"/>
      <c r="V27" s="32">
        <f t="shared" ref="V27:V38" si="17">IF(T$12=0,0,T27/T$12)</f>
        <v>1.1475689775049391</v>
      </c>
      <c r="W27" s="4"/>
      <c r="X27" s="22">
        <f t="shared" ref="X27:X38" si="18">+P27-T27</f>
        <v>-289330.46916680154</v>
      </c>
      <c r="Y27" s="4"/>
      <c r="Z27" s="32">
        <f t="shared" ref="Z27:Z38" si="19">IF(T27=0,0,X27/T27)</f>
        <v>-0.15912040272579936</v>
      </c>
    </row>
    <row r="28" spans="1:26" s="28" customFormat="1" outlineLevel="1" collapsed="1" x14ac:dyDescent="0.25">
      <c r="A28" s="27"/>
      <c r="B28" s="14" t="str">
        <f>CONCATENATE("     ","*Benefits                                         ")</f>
        <v xml:space="preserve">     *Benefits                                         </v>
      </c>
      <c r="C28" s="14"/>
      <c r="D28" s="1">
        <f>SUM(OSRRefD22_0x_0)</f>
        <v>115647.20999999999</v>
      </c>
      <c r="E28" s="1"/>
      <c r="F28" s="5">
        <f t="shared" si="12"/>
        <v>7.4287143701928862E-2</v>
      </c>
      <c r="G28" s="1"/>
      <c r="H28" s="1">
        <f>SUM(OSRRefH22_0x_0)</f>
        <v>135362.1762792813</v>
      </c>
      <c r="I28" s="1"/>
      <c r="J28" s="5">
        <f t="shared" si="13"/>
        <v>0.10840239279001242</v>
      </c>
      <c r="K28" s="1"/>
      <c r="L28" s="1">
        <f t="shared" si="14"/>
        <v>-19714.966279281303</v>
      </c>
      <c r="M28" s="1"/>
      <c r="N28" s="5">
        <f t="shared" si="15"/>
        <v>-0.14564604988771077</v>
      </c>
      <c r="O28" s="14"/>
      <c r="P28" s="1">
        <f>SUM(OSRRefP22_0x_0)</f>
        <v>312666.75999999995</v>
      </c>
      <c r="Q28" s="1"/>
      <c r="R28" s="5">
        <f t="shared" si="16"/>
        <v>0.14645142030239039</v>
      </c>
      <c r="S28" s="1"/>
      <c r="T28" s="1">
        <f>SUM(OSRRefT22_0x_0)</f>
        <v>412107.007201801</v>
      </c>
      <c r="U28" s="1"/>
      <c r="V28" s="5">
        <f t="shared" si="17"/>
        <v>0.26008810860390474</v>
      </c>
      <c r="W28" s="1"/>
      <c r="X28" s="1">
        <f t="shared" si="18"/>
        <v>-99440.247201801045</v>
      </c>
      <c r="Y28" s="1"/>
      <c r="Z28" s="5">
        <f t="shared" si="19"/>
        <v>-0.24129715210861979</v>
      </c>
    </row>
    <row r="29" spans="1:26" s="24" customFormat="1" hidden="1" outlineLevel="2" x14ac:dyDescent="0.25">
      <c r="A29" s="29"/>
      <c r="B29" s="11" t="str">
        <f>CONCATENATE("          ", "6111", " - ", "F.I.C.A.")</f>
        <v xml:space="preserve">          6111 - F.I.C.A.</v>
      </c>
      <c r="C29" s="11"/>
      <c r="D29" s="7">
        <v>18130.73</v>
      </c>
      <c r="E29" s="2"/>
      <c r="F29" s="6">
        <f t="shared" si="12"/>
        <v>1.1646456018531471E-2</v>
      </c>
      <c r="G29" s="2"/>
      <c r="H29" s="7">
        <v>15003.9564505122</v>
      </c>
      <c r="I29" s="2"/>
      <c r="J29" s="6">
        <f t="shared" si="13"/>
        <v>1.2015651825787118E-2</v>
      </c>
      <c r="K29" s="2"/>
      <c r="L29" s="7">
        <f t="shared" si="14"/>
        <v>3126.7735494877998</v>
      </c>
      <c r="M29" s="2"/>
      <c r="N29" s="6">
        <f t="shared" si="15"/>
        <v>0.20839660257618645</v>
      </c>
      <c r="O29" s="11"/>
      <c r="P29" s="7">
        <v>41813.769999999997</v>
      </c>
      <c r="Q29" s="2"/>
      <c r="R29" s="6">
        <f t="shared" si="16"/>
        <v>1.9585343848823208E-2</v>
      </c>
      <c r="S29" s="2"/>
      <c r="T29" s="7">
        <v>50071.519363416002</v>
      </c>
      <c r="U29" s="2"/>
      <c r="V29" s="6">
        <f t="shared" si="17"/>
        <v>3.1601032107123429E-2</v>
      </c>
      <c r="W29" s="2"/>
      <c r="X29" s="7">
        <f t="shared" si="18"/>
        <v>-8257.7493634160055</v>
      </c>
      <c r="Y29" s="2"/>
      <c r="Z29" s="6">
        <f t="shared" si="19"/>
        <v>-0.16491908910296429</v>
      </c>
    </row>
    <row r="30" spans="1:26" s="24" customFormat="1" hidden="1" outlineLevel="2" x14ac:dyDescent="0.25">
      <c r="A30" s="29"/>
      <c r="B30" s="11" t="str">
        <f>CONCATENATE("          ", "6112", " - ", "COMPENSATION INSURANCE")</f>
        <v xml:space="preserve">          6112 - COMPENSATION INSURANCE</v>
      </c>
      <c r="C30" s="11"/>
      <c r="D30" s="7">
        <v>9879.5499999999993</v>
      </c>
      <c r="E30" s="2"/>
      <c r="F30" s="6">
        <f t="shared" si="12"/>
        <v>6.3462278991459568E-3</v>
      </c>
      <c r="G30" s="2"/>
      <c r="H30" s="7">
        <v>13713.215483149201</v>
      </c>
      <c r="I30" s="2"/>
      <c r="J30" s="6">
        <f t="shared" si="13"/>
        <v>1.0981984865191268E-2</v>
      </c>
      <c r="K30" s="2"/>
      <c r="L30" s="7">
        <f t="shared" si="14"/>
        <v>-3833.6654831492015</v>
      </c>
      <c r="M30" s="2"/>
      <c r="N30" s="6">
        <f t="shared" si="15"/>
        <v>-0.27955992435618104</v>
      </c>
      <c r="O30" s="11"/>
      <c r="P30" s="7">
        <v>20124.23</v>
      </c>
      <c r="Q30" s="2"/>
      <c r="R30" s="6">
        <f t="shared" si="16"/>
        <v>9.4260805529566821E-3</v>
      </c>
      <c r="S30" s="2"/>
      <c r="T30" s="7">
        <v>32774.028304879997</v>
      </c>
      <c r="U30" s="2"/>
      <c r="V30" s="6">
        <f t="shared" si="17"/>
        <v>2.0684275889958283E-2</v>
      </c>
      <c r="W30" s="2"/>
      <c r="X30" s="7">
        <f t="shared" si="18"/>
        <v>-12649.798304879998</v>
      </c>
      <c r="Y30" s="2"/>
      <c r="Z30" s="6">
        <f t="shared" si="19"/>
        <v>-0.38597020138035532</v>
      </c>
    </row>
    <row r="31" spans="1:26" s="24" customFormat="1" hidden="1" outlineLevel="2" x14ac:dyDescent="0.25">
      <c r="A31" s="29"/>
      <c r="B31" s="11" t="str">
        <f>CONCATENATE("          ", "6113", " - ", "GROUP INSURANCE")</f>
        <v xml:space="preserve">          6113 - GROUP INSURANCE</v>
      </c>
      <c r="C31" s="11"/>
      <c r="D31" s="7">
        <v>57185.05</v>
      </c>
      <c r="E31" s="2"/>
      <c r="F31" s="6">
        <f t="shared" si="12"/>
        <v>3.6733389650748925E-2</v>
      </c>
      <c r="G31" s="2"/>
      <c r="H31" s="7">
        <v>74986.846153846098</v>
      </c>
      <c r="I31" s="2"/>
      <c r="J31" s="6">
        <f t="shared" si="13"/>
        <v>6.0051882839723916E-2</v>
      </c>
      <c r="K31" s="2"/>
      <c r="L31" s="7">
        <f t="shared" si="14"/>
        <v>-17801.796153846095</v>
      </c>
      <c r="M31" s="2"/>
      <c r="N31" s="6">
        <f t="shared" si="15"/>
        <v>-0.23739891816923728</v>
      </c>
      <c r="O31" s="11"/>
      <c r="P31" s="7">
        <v>164609.82999999999</v>
      </c>
      <c r="Q31" s="2"/>
      <c r="R31" s="6">
        <f t="shared" si="16"/>
        <v>7.7102354593865469E-2</v>
      </c>
      <c r="S31" s="2"/>
      <c r="T31" s="7">
        <v>238394.58461538501</v>
      </c>
      <c r="U31" s="2"/>
      <c r="V31" s="6">
        <f t="shared" si="17"/>
        <v>0.15045508940756017</v>
      </c>
      <c r="W31" s="2"/>
      <c r="X31" s="7">
        <f t="shared" si="18"/>
        <v>-73784.754615385027</v>
      </c>
      <c r="Y31" s="2"/>
      <c r="Z31" s="6">
        <f t="shared" si="19"/>
        <v>-0.30950684024314562</v>
      </c>
    </row>
    <row r="32" spans="1:26" s="24" customFormat="1" hidden="1" outlineLevel="2" x14ac:dyDescent="0.25">
      <c r="A32" s="29"/>
      <c r="B32" s="11" t="str">
        <f>CONCATENATE("          ", "6114", " - ", "STATE UNEMPLOYMENT INSURANCE")</f>
        <v xml:space="preserve">          6114 - STATE UNEMPLOYMENT INSURANCE</v>
      </c>
      <c r="C32" s="11"/>
      <c r="D32" s="7">
        <v>743.81</v>
      </c>
      <c r="E32" s="2"/>
      <c r="F32" s="6">
        <f t="shared" si="12"/>
        <v>4.7779380373233135E-4</v>
      </c>
      <c r="G32" s="2"/>
      <c r="H32" s="7">
        <v>759.83515869692405</v>
      </c>
      <c r="I32" s="2"/>
      <c r="J32" s="6">
        <f t="shared" si="13"/>
        <v>6.0850048065703803E-4</v>
      </c>
      <c r="K32" s="2"/>
      <c r="L32" s="7">
        <f t="shared" si="14"/>
        <v>-16.025158696924109</v>
      </c>
      <c r="M32" s="2"/>
      <c r="N32" s="6">
        <f t="shared" si="15"/>
        <v>-2.1090309540830389E-2</v>
      </c>
      <c r="O32" s="11"/>
      <c r="P32" s="7">
        <v>1541.46</v>
      </c>
      <c r="Q32" s="2"/>
      <c r="R32" s="6">
        <f t="shared" si="16"/>
        <v>7.2201153182808021E-4</v>
      </c>
      <c r="S32" s="2"/>
      <c r="T32" s="7">
        <v>1815.9751831200001</v>
      </c>
      <c r="U32" s="2"/>
      <c r="V32" s="6">
        <f t="shared" si="17"/>
        <v>1.1460944424515145E-3</v>
      </c>
      <c r="W32" s="2"/>
      <c r="X32" s="7">
        <f t="shared" si="18"/>
        <v>-274.51518312000007</v>
      </c>
      <c r="Y32" s="2"/>
      <c r="Z32" s="6">
        <f t="shared" si="19"/>
        <v>-0.15116681421183278</v>
      </c>
    </row>
    <row r="33" spans="1:26" s="24" customFormat="1" hidden="1" outlineLevel="2" x14ac:dyDescent="0.25">
      <c r="A33" s="29"/>
      <c r="B33" s="11" t="str">
        <f>CONCATENATE("          ", "6115", " - ", "P.E.R.S.")</f>
        <v xml:space="preserve">          6115 - P.E.R.S.</v>
      </c>
      <c r="C33" s="11"/>
      <c r="D33" s="7">
        <v>7282.93</v>
      </c>
      <c r="E33" s="2"/>
      <c r="F33" s="6">
        <f t="shared" si="12"/>
        <v>4.678263033592327E-3</v>
      </c>
      <c r="G33" s="2"/>
      <c r="H33" s="7">
        <v>6180.7902307692302</v>
      </c>
      <c r="I33" s="2"/>
      <c r="J33" s="6">
        <f t="shared" si="13"/>
        <v>4.94977599182609E-3</v>
      </c>
      <c r="K33" s="2"/>
      <c r="L33" s="7">
        <f t="shared" si="14"/>
        <v>1102.1397692307701</v>
      </c>
      <c r="M33" s="2"/>
      <c r="N33" s="6">
        <f t="shared" si="15"/>
        <v>0.17831696726157997</v>
      </c>
      <c r="O33" s="11"/>
      <c r="P33" s="7">
        <v>20698.04</v>
      </c>
      <c r="Q33" s="2"/>
      <c r="R33" s="6">
        <f t="shared" si="16"/>
        <v>9.6948500552974954E-3</v>
      </c>
      <c r="S33" s="2"/>
      <c r="T33" s="7">
        <v>20087.56825</v>
      </c>
      <c r="U33" s="2"/>
      <c r="V33" s="6">
        <f t="shared" si="17"/>
        <v>1.2677623872665652E-2</v>
      </c>
      <c r="W33" s="2"/>
      <c r="X33" s="7">
        <f t="shared" si="18"/>
        <v>610.47175000000061</v>
      </c>
      <c r="Y33" s="2"/>
      <c r="Z33" s="6">
        <f t="shared" si="19"/>
        <v>3.0390525244388435E-2</v>
      </c>
    </row>
    <row r="34" spans="1:26" s="24" customFormat="1" hidden="1" outlineLevel="2" x14ac:dyDescent="0.25">
      <c r="A34" s="29"/>
      <c r="B34" s="11" t="str">
        <f>CONCATENATE("          ", "6116", " - ", "EDUCATIONAL BENEFITS")</f>
        <v xml:space="preserve">          6116 - EDUCATIONAL BENEFITS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9"/>
      <c r="B35" s="11" t="str">
        <f>CONCATENATE("          ", "6117", " - ", "RETIREMENT STAFF HOURLY")</f>
        <v xml:space="preserve">          6117 - RETIREMENT STAFF HOURLY</v>
      </c>
      <c r="C35" s="11"/>
      <c r="D35" s="7">
        <v>1146.68</v>
      </c>
      <c r="E35" s="2"/>
      <c r="F35" s="6">
        <f t="shared" si="12"/>
        <v>7.3658138350356922E-4</v>
      </c>
      <c r="G35" s="2"/>
      <c r="H35" s="7"/>
      <c r="I35" s="2"/>
      <c r="J35" s="6">
        <f t="shared" si="13"/>
        <v>0</v>
      </c>
      <c r="K35" s="2"/>
      <c r="L35" s="7">
        <f t="shared" si="14"/>
        <v>1146.68</v>
      </c>
      <c r="M35" s="2"/>
      <c r="N35" s="6">
        <f t="shared" si="15"/>
        <v>0</v>
      </c>
      <c r="O35" s="11"/>
      <c r="P35" s="7">
        <v>4617.3</v>
      </c>
      <c r="Q35" s="2"/>
      <c r="R35" s="6">
        <f t="shared" si="16"/>
        <v>2.1627183617543076E-3</v>
      </c>
      <c r="S35" s="2"/>
      <c r="T35" s="7"/>
      <c r="U35" s="2"/>
      <c r="V35" s="6">
        <f t="shared" si="17"/>
        <v>0</v>
      </c>
      <c r="W35" s="2"/>
      <c r="X35" s="7">
        <f t="shared" si="18"/>
        <v>4617.3</v>
      </c>
      <c r="Y35" s="2"/>
      <c r="Z35" s="6">
        <f t="shared" si="19"/>
        <v>0</v>
      </c>
    </row>
    <row r="36" spans="1:26" s="24" customFormat="1" hidden="1" outlineLevel="2" x14ac:dyDescent="0.25">
      <c r="A36" s="29"/>
      <c r="B36" s="11" t="str">
        <f>CONCATENATE("          ", "6118", " - ", "VACATION")</f>
        <v xml:space="preserve">          6118 - VACATION</v>
      </c>
      <c r="C36" s="11"/>
      <c r="D36" s="7">
        <v>10120.81</v>
      </c>
      <c r="E36" s="2"/>
      <c r="F36" s="6">
        <f t="shared" si="12"/>
        <v>6.5012036766811639E-3</v>
      </c>
      <c r="G36" s="2"/>
      <c r="H36" s="7">
        <v>7947.7153421538396</v>
      </c>
      <c r="I36" s="2"/>
      <c r="J36" s="6">
        <f t="shared" si="13"/>
        <v>6.3647865599161368E-3</v>
      </c>
      <c r="K36" s="2"/>
      <c r="L36" s="7">
        <f t="shared" si="14"/>
        <v>2173.0946578461599</v>
      </c>
      <c r="M36" s="2"/>
      <c r="N36" s="6">
        <f t="shared" si="15"/>
        <v>0.27342381606451055</v>
      </c>
      <c r="O36" s="11"/>
      <c r="P36" s="7">
        <v>28804.12</v>
      </c>
      <c r="Q36" s="2"/>
      <c r="R36" s="6">
        <f t="shared" si="16"/>
        <v>1.3491694110881788E-2</v>
      </c>
      <c r="S36" s="2"/>
      <c r="T36" s="7">
        <v>25822.286226</v>
      </c>
      <c r="U36" s="2"/>
      <c r="V36" s="6">
        <f t="shared" si="17"/>
        <v>1.6296907033808986E-2</v>
      </c>
      <c r="W36" s="2"/>
      <c r="X36" s="7">
        <f t="shared" si="18"/>
        <v>2981.8337739999988</v>
      </c>
      <c r="Y36" s="2"/>
      <c r="Z36" s="6">
        <f t="shared" si="19"/>
        <v>0.1154752041667652</v>
      </c>
    </row>
    <row r="37" spans="1:26" s="24" customFormat="1" hidden="1" outlineLevel="2" x14ac:dyDescent="0.25">
      <c r="A37" s="29"/>
      <c r="B37" s="11" t="str">
        <f>CONCATENATE("          ", "6119", " - ", "SICK LEAVE")</f>
        <v xml:space="preserve">          6119 - SICK LEAVE</v>
      </c>
      <c r="C37" s="11"/>
      <c r="D37" s="7">
        <v>7033.59</v>
      </c>
      <c r="E37" s="2"/>
      <c r="F37" s="6">
        <f t="shared" si="12"/>
        <v>4.518096987125326E-3</v>
      </c>
      <c r="G37" s="2"/>
      <c r="H37" s="7">
        <v>10448.817460153799</v>
      </c>
      <c r="I37" s="2"/>
      <c r="J37" s="6">
        <f t="shared" si="13"/>
        <v>8.3677497336462452E-3</v>
      </c>
      <c r="K37" s="2"/>
      <c r="L37" s="7">
        <f t="shared" si="14"/>
        <v>-3415.2274601537993</v>
      </c>
      <c r="M37" s="2"/>
      <c r="N37" s="6">
        <f t="shared" si="15"/>
        <v>-0.32685301214014406</v>
      </c>
      <c r="O37" s="11"/>
      <c r="P37" s="7">
        <v>19296.54</v>
      </c>
      <c r="Q37" s="2"/>
      <c r="R37" s="6">
        <f t="shared" si="16"/>
        <v>9.038395030932898E-3</v>
      </c>
      <c r="S37" s="2"/>
      <c r="T37" s="7">
        <v>24834.045258999999</v>
      </c>
      <c r="U37" s="2"/>
      <c r="V37" s="6">
        <f t="shared" si="17"/>
        <v>1.5673210470877063E-2</v>
      </c>
      <c r="W37" s="2"/>
      <c r="X37" s="7">
        <f t="shared" si="18"/>
        <v>-5537.5052589999977</v>
      </c>
      <c r="Y37" s="2"/>
      <c r="Z37" s="6">
        <f t="shared" si="19"/>
        <v>-0.2229803965180894</v>
      </c>
    </row>
    <row r="38" spans="1:26" s="24" customFormat="1" hidden="1" outlineLevel="2" x14ac:dyDescent="0.25">
      <c r="A38" s="29"/>
      <c r="B38" s="11" t="str">
        <f>CONCATENATE("          ", "6156", " - ", "EMPLOYEE MEALS")</f>
        <v xml:space="preserve">          6156 - EMPLOYEE MEALS</v>
      </c>
      <c r="C38" s="11"/>
      <c r="D38" s="7">
        <v>4124.0600000000004</v>
      </c>
      <c r="E38" s="2"/>
      <c r="F38" s="6">
        <f t="shared" si="12"/>
        <v>2.6491312488678008E-3</v>
      </c>
      <c r="G38" s="2"/>
      <c r="H38" s="7">
        <v>6321</v>
      </c>
      <c r="I38" s="2"/>
      <c r="J38" s="6">
        <f t="shared" si="13"/>
        <v>5.0620604932646003E-3</v>
      </c>
      <c r="K38" s="2"/>
      <c r="L38" s="7">
        <f t="shared" si="14"/>
        <v>-2196.9399999999996</v>
      </c>
      <c r="M38" s="2"/>
      <c r="N38" s="6">
        <f t="shared" si="15"/>
        <v>-0.34756209460528392</v>
      </c>
      <c r="O38" s="11"/>
      <c r="P38" s="7">
        <v>11161.47</v>
      </c>
      <c r="Q38" s="2"/>
      <c r="R38" s="6">
        <f t="shared" si="16"/>
        <v>5.2279722160504727E-3</v>
      </c>
      <c r="S38" s="2"/>
      <c r="T38" s="7">
        <v>18307</v>
      </c>
      <c r="U38" s="2"/>
      <c r="V38" s="6">
        <f t="shared" si="17"/>
        <v>1.1553875379459637E-2</v>
      </c>
      <c r="W38" s="2"/>
      <c r="X38" s="7">
        <f t="shared" si="18"/>
        <v>-7145.5300000000007</v>
      </c>
      <c r="Y38" s="2"/>
      <c r="Z38" s="6">
        <f t="shared" si="19"/>
        <v>-0.39031681870322832</v>
      </c>
    </row>
    <row r="39" spans="1:26" s="28" customFormat="1" outlineLevel="1" collapsed="1" x14ac:dyDescent="0.25">
      <c r="A39" s="27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295334.95</v>
      </c>
      <c r="E39" s="1"/>
      <c r="F39" s="5">
        <f t="shared" ref="F39:F49" si="20">IF(D$12=0,0,D39/D$12)</f>
        <v>0.18971136329922683</v>
      </c>
      <c r="G39" s="1"/>
      <c r="H39" s="1">
        <f>SUM(OSRRefH22_1x_0)</f>
        <v>344653.80449384608</v>
      </c>
      <c r="I39" s="1"/>
      <c r="J39" s="5">
        <f t="shared" ref="J39:J49" si="21">IF(H$12=0,0,H39/H$12)</f>
        <v>0.27600987305515579</v>
      </c>
      <c r="K39" s="1"/>
      <c r="L39" s="1">
        <f t="shared" ref="L39:L49" si="22">+D39-H39</f>
        <v>-49318.854493846069</v>
      </c>
      <c r="M39" s="1"/>
      <c r="N39" s="5">
        <f t="shared" ref="N39:N49" si="23">IF(H39=0,0,L39/H39)</f>
        <v>-0.14309679408957945</v>
      </c>
      <c r="O39" s="14"/>
      <c r="P39" s="1">
        <f>SUM(OSRRefP22_1x_0)</f>
        <v>648270.50000000012</v>
      </c>
      <c r="Q39" s="1"/>
      <c r="R39" s="5">
        <f t="shared" ref="R39:R49" si="24">IF(P$12=0,0,P39/P$12)</f>
        <v>0.30364639805376431</v>
      </c>
      <c r="S39" s="1"/>
      <c r="T39" s="1">
        <f>SUM(OSRRefT22_1x_0)</f>
        <v>816441.56196500012</v>
      </c>
      <c r="U39" s="1"/>
      <c r="V39" s="5">
        <f t="shared" ref="V39:V49" si="25">IF(T$12=0,0,T39/T$12)</f>
        <v>0.51527088335363436</v>
      </c>
      <c r="W39" s="1"/>
      <c r="X39" s="1">
        <f t="shared" ref="X39:X49" si="26">+P39-T39</f>
        <v>-168171.061965</v>
      </c>
      <c r="Y39" s="1"/>
      <c r="Z39" s="5">
        <f t="shared" ref="Z39:Z49" si="27">IF(T39=0,0,X39/T39)</f>
        <v>-0.20598052548947685</v>
      </c>
    </row>
    <row r="40" spans="1:26" s="24" customFormat="1" hidden="1" outlineLevel="2" x14ac:dyDescent="0.25">
      <c r="A40" s="29"/>
      <c r="B40" s="11" t="str">
        <f>CONCATENATE("          ", "6001", " - ", "ADMINISTRATIVE SALARIES")</f>
        <v xml:space="preserve">          6001 - ADMINISTRATIVE SALARIES</v>
      </c>
      <c r="C40" s="11"/>
      <c r="D40" s="7">
        <v>18131.38</v>
      </c>
      <c r="E40" s="2"/>
      <c r="F40" s="6">
        <f t="shared" si="20"/>
        <v>1.1646873552542073E-2</v>
      </c>
      <c r="G40" s="2"/>
      <c r="H40" s="7">
        <v>10268.307692307701</v>
      </c>
      <c r="I40" s="2"/>
      <c r="J40" s="6">
        <f t="shared" si="21"/>
        <v>8.223191694655246E-3</v>
      </c>
      <c r="K40" s="2"/>
      <c r="L40" s="7">
        <f t="shared" si="22"/>
        <v>7863.0723076923005</v>
      </c>
      <c r="M40" s="2"/>
      <c r="N40" s="6">
        <f t="shared" si="23"/>
        <v>0.76576126693035951</v>
      </c>
      <c r="O40" s="11"/>
      <c r="P40" s="7">
        <v>60982.16</v>
      </c>
      <c r="Q40" s="2"/>
      <c r="R40" s="6">
        <f t="shared" si="24"/>
        <v>2.8563714112455129E-2</v>
      </c>
      <c r="S40" s="2"/>
      <c r="T40" s="7">
        <v>33372</v>
      </c>
      <c r="U40" s="2"/>
      <c r="V40" s="6">
        <f t="shared" si="25"/>
        <v>2.1061666529924455E-2</v>
      </c>
      <c r="W40" s="2"/>
      <c r="X40" s="7">
        <f t="shared" si="26"/>
        <v>27610.160000000003</v>
      </c>
      <c r="Y40" s="2"/>
      <c r="Z40" s="6">
        <f t="shared" si="27"/>
        <v>0.82734507970753934</v>
      </c>
    </row>
    <row r="41" spans="1:26" s="24" customFormat="1" hidden="1" outlineLevel="2" x14ac:dyDescent="0.25">
      <c r="A41" s="29"/>
      <c r="B41" s="11" t="str">
        <f>CONCATENATE("          ", "6002", " - ", "STAFF SALARIES")</f>
        <v xml:space="preserve">          6002 - STAFF SALARIES</v>
      </c>
      <c r="C41" s="11"/>
      <c r="D41" s="7">
        <v>61046.720000000001</v>
      </c>
      <c r="E41" s="2"/>
      <c r="F41" s="6">
        <f t="shared" si="20"/>
        <v>3.9213972054936867E-2</v>
      </c>
      <c r="G41" s="2"/>
      <c r="H41" s="7">
        <v>56764.480161538399</v>
      </c>
      <c r="I41" s="2"/>
      <c r="J41" s="6">
        <f t="shared" si="21"/>
        <v>4.5458824940108479E-2</v>
      </c>
      <c r="K41" s="2"/>
      <c r="L41" s="7">
        <f t="shared" si="22"/>
        <v>4282.2398384616026</v>
      </c>
      <c r="M41" s="2"/>
      <c r="N41" s="6">
        <f t="shared" si="23"/>
        <v>7.5438722001423292E-2</v>
      </c>
      <c r="O41" s="11"/>
      <c r="P41" s="7">
        <v>172114.25</v>
      </c>
      <c r="Q41" s="2"/>
      <c r="R41" s="6">
        <f t="shared" si="24"/>
        <v>8.0617384357648689E-2</v>
      </c>
      <c r="S41" s="2"/>
      <c r="T41" s="7">
        <v>184484.56052500001</v>
      </c>
      <c r="U41" s="2"/>
      <c r="V41" s="6">
        <f t="shared" si="25"/>
        <v>0.11643150826133331</v>
      </c>
      <c r="W41" s="2"/>
      <c r="X41" s="7">
        <f t="shared" si="26"/>
        <v>-12370.310525000008</v>
      </c>
      <c r="Y41" s="2"/>
      <c r="Z41" s="6">
        <f t="shared" si="27"/>
        <v>-6.7053364735764287E-2</v>
      </c>
    </row>
    <row r="42" spans="1:26" s="24" customFormat="1" hidden="1" outlineLevel="2" x14ac:dyDescent="0.25">
      <c r="A42" s="29"/>
      <c r="B42" s="11" t="str">
        <f>CONCATENATE("          ", "6003", " - ", "STAFF HOURLY-9 MONTH")</f>
        <v xml:space="preserve">          6003 - STAFF HOURLY-9 MONTH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9"/>
      <c r="B43" s="11" t="str">
        <f>CONCATENATE("          ", "6004", " - ", "STAFF HOURLY")</f>
        <v xml:space="preserve">          6004 - STAFF HOURLY</v>
      </c>
      <c r="C43" s="11"/>
      <c r="D43" s="7">
        <v>100733.54</v>
      </c>
      <c r="E43" s="2"/>
      <c r="F43" s="6">
        <f t="shared" si="20"/>
        <v>6.4707198397471064E-2</v>
      </c>
      <c r="G43" s="2"/>
      <c r="H43" s="7">
        <v>114843.03164</v>
      </c>
      <c r="I43" s="2"/>
      <c r="J43" s="6">
        <f t="shared" si="21"/>
        <v>9.1970000536557586E-2</v>
      </c>
      <c r="K43" s="2"/>
      <c r="L43" s="7">
        <f t="shared" si="22"/>
        <v>-14109.491640000007</v>
      </c>
      <c r="M43" s="2"/>
      <c r="N43" s="6">
        <f t="shared" si="23"/>
        <v>-0.12285892699375284</v>
      </c>
      <c r="O43" s="11"/>
      <c r="P43" s="7">
        <v>203750.49</v>
      </c>
      <c r="Q43" s="2"/>
      <c r="R43" s="6">
        <f t="shared" si="24"/>
        <v>9.5435628167855113E-2</v>
      </c>
      <c r="S43" s="2"/>
      <c r="T43" s="7">
        <v>342730.80644000001</v>
      </c>
      <c r="U43" s="2"/>
      <c r="V43" s="6">
        <f t="shared" si="25"/>
        <v>0.21630354652916711</v>
      </c>
      <c r="W43" s="2"/>
      <c r="X43" s="7">
        <f t="shared" si="26"/>
        <v>-138980.31644000002</v>
      </c>
      <c r="Y43" s="2"/>
      <c r="Z43" s="6">
        <f t="shared" si="27"/>
        <v>-0.40550867861459816</v>
      </c>
    </row>
    <row r="44" spans="1:26" s="24" customFormat="1" hidden="1" outlineLevel="2" x14ac:dyDescent="0.25">
      <c r="A44" s="29"/>
      <c r="B44" s="11" t="str">
        <f>CONCATENATE("          ", "6005", " - ", "TEMPORARY WAGES-HOURLY")</f>
        <v xml:space="preserve">          6005 - TEMPORARY WAGES-HOURLY</v>
      </c>
      <c r="C44" s="11"/>
      <c r="D44" s="7">
        <v>51606.39</v>
      </c>
      <c r="E44" s="2"/>
      <c r="F44" s="6">
        <f t="shared" si="20"/>
        <v>3.3149881522155054E-2</v>
      </c>
      <c r="G44" s="2"/>
      <c r="H44" s="7">
        <v>37292.620000000003</v>
      </c>
      <c r="I44" s="2"/>
      <c r="J44" s="6">
        <f t="shared" si="21"/>
        <v>2.986513184501334E-2</v>
      </c>
      <c r="K44" s="2"/>
      <c r="L44" s="7">
        <f t="shared" si="22"/>
        <v>14313.769999999997</v>
      </c>
      <c r="M44" s="2"/>
      <c r="N44" s="6">
        <f t="shared" si="23"/>
        <v>0.38382312639873506</v>
      </c>
      <c r="O44" s="11"/>
      <c r="P44" s="7">
        <v>79502.62</v>
      </c>
      <c r="Q44" s="2"/>
      <c r="R44" s="6">
        <f t="shared" si="24"/>
        <v>3.7238597466392749E-2</v>
      </c>
      <c r="S44" s="2"/>
      <c r="T44" s="7">
        <v>63313.84</v>
      </c>
      <c r="U44" s="2"/>
      <c r="V44" s="6">
        <f t="shared" si="25"/>
        <v>3.99584976869529E-2</v>
      </c>
      <c r="W44" s="2"/>
      <c r="X44" s="7">
        <f t="shared" si="26"/>
        <v>16188.779999999999</v>
      </c>
      <c r="Y44" s="2"/>
      <c r="Z44" s="6">
        <f t="shared" si="27"/>
        <v>0.25569101479234241</v>
      </c>
    </row>
    <row r="45" spans="1:26" s="24" customFormat="1" hidden="1" outlineLevel="2" x14ac:dyDescent="0.25">
      <c r="A45" s="29"/>
      <c r="B45" s="11" t="str">
        <f>CONCATENATE("          ", "6006", " - ", "TEMPORARY PART TIME")</f>
        <v xml:space="preserve">          6006 - TEMPORARY PART TIME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9"/>
      <c r="B46" s="11" t="str">
        <f>CONCATENATE("          ", "6007", " - ", "STUDENT HOURLY")</f>
        <v xml:space="preserve">          6007 - STUDENT HOURLY</v>
      </c>
      <c r="C46" s="11"/>
      <c r="D46" s="7">
        <v>60858.720000000001</v>
      </c>
      <c r="E46" s="2"/>
      <c r="F46" s="6">
        <f t="shared" si="20"/>
        <v>3.9093208371870386E-2</v>
      </c>
      <c r="G46" s="2"/>
      <c r="H46" s="7">
        <v>1323.08</v>
      </c>
      <c r="I46" s="2"/>
      <c r="J46" s="6">
        <f t="shared" si="21"/>
        <v>1.059565100051974E-3</v>
      </c>
      <c r="K46" s="2"/>
      <c r="L46" s="7">
        <f t="shared" si="22"/>
        <v>59535.64</v>
      </c>
      <c r="M46" s="2"/>
      <c r="N46" s="6">
        <f t="shared" si="23"/>
        <v>44.997762795900478</v>
      </c>
      <c r="O46" s="11"/>
      <c r="P46" s="7">
        <v>127333.32</v>
      </c>
      <c r="Q46" s="2"/>
      <c r="R46" s="6">
        <f t="shared" si="24"/>
        <v>5.9642238803442924E-2</v>
      </c>
      <c r="S46" s="2"/>
      <c r="T46" s="7">
        <v>50517.29</v>
      </c>
      <c r="U46" s="2"/>
      <c r="V46" s="6">
        <f t="shared" si="25"/>
        <v>3.1882365934780277E-2</v>
      </c>
      <c r="W46" s="2"/>
      <c r="X46" s="7">
        <f t="shared" si="26"/>
        <v>76816.03</v>
      </c>
      <c r="Y46" s="2"/>
      <c r="Z46" s="6">
        <f t="shared" si="27"/>
        <v>1.520588891446869</v>
      </c>
    </row>
    <row r="47" spans="1:26" s="24" customFormat="1" hidden="1" outlineLevel="2" x14ac:dyDescent="0.25">
      <c r="A47" s="29"/>
      <c r="B47" s="11" t="str">
        <f>CONCATENATE("          ", "6008", " - ", "STUDENT HOURLY-FICA EXEMPT")</f>
        <v xml:space="preserve">          6008 - STUDENT HOURLY-FICA EXEMPT</v>
      </c>
      <c r="C47" s="11"/>
      <c r="D47" s="7">
        <v>2958.2</v>
      </c>
      <c r="E47" s="2"/>
      <c r="F47" s="6">
        <f t="shared" si="20"/>
        <v>1.900229400251385E-3</v>
      </c>
      <c r="G47" s="2"/>
      <c r="H47" s="7">
        <v>124162.285</v>
      </c>
      <c r="I47" s="2"/>
      <c r="J47" s="6">
        <f t="shared" si="21"/>
        <v>9.9433158938769167E-2</v>
      </c>
      <c r="K47" s="2"/>
      <c r="L47" s="7">
        <f t="shared" si="22"/>
        <v>-121204.08500000001</v>
      </c>
      <c r="M47" s="2"/>
      <c r="N47" s="6">
        <f t="shared" si="23"/>
        <v>-0.97617472970958941</v>
      </c>
      <c r="O47" s="11"/>
      <c r="P47" s="7">
        <v>4587.66</v>
      </c>
      <c r="Q47" s="2"/>
      <c r="R47" s="6">
        <f t="shared" si="24"/>
        <v>2.1488351459696721E-3</v>
      </c>
      <c r="S47" s="2"/>
      <c r="T47" s="7">
        <v>142023.065</v>
      </c>
      <c r="U47" s="2"/>
      <c r="V47" s="6">
        <f t="shared" si="25"/>
        <v>8.9633298411476256E-2</v>
      </c>
      <c r="W47" s="2"/>
      <c r="X47" s="7">
        <f t="shared" si="26"/>
        <v>-137435.405</v>
      </c>
      <c r="Y47" s="2"/>
      <c r="Z47" s="6">
        <f t="shared" si="27"/>
        <v>-0.96769778204688084</v>
      </c>
    </row>
    <row r="48" spans="1:26" s="24" customFormat="1" hidden="1" outlineLevel="2" x14ac:dyDescent="0.25">
      <c r="A48" s="29"/>
      <c r="B48" s="11" t="str">
        <f>CONCATENATE("          ", "6009", " - ", "TEMPORARY-SEASONAL")</f>
        <v xml:space="preserve">          6009 - TEMPORARY-SEASONAL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0</v>
      </c>
      <c r="Y48" s="2"/>
      <c r="Z48" s="6">
        <f t="shared" si="27"/>
        <v>0</v>
      </c>
    </row>
    <row r="49" spans="1:26" s="24" customFormat="1" hidden="1" outlineLevel="2" x14ac:dyDescent="0.25">
      <c r="A49" s="29"/>
      <c r="B49" s="11" t="str">
        <f>CONCATENATE("          ", "6010", " - ", "GRATUITY")</f>
        <v xml:space="preserve">          6010 - GRATUITY</v>
      </c>
      <c r="C49" s="11"/>
      <c r="D49" s="7"/>
      <c r="E49" s="2"/>
      <c r="F49" s="6">
        <f t="shared" si="20"/>
        <v>0</v>
      </c>
      <c r="G49" s="2"/>
      <c r="H49" s="7">
        <v>0</v>
      </c>
      <c r="I49" s="2"/>
      <c r="J49" s="6">
        <f t="shared" si="21"/>
        <v>0</v>
      </c>
      <c r="K49" s="2"/>
      <c r="L49" s="7">
        <f t="shared" si="22"/>
        <v>0</v>
      </c>
      <c r="M49" s="2"/>
      <c r="N49" s="6">
        <f t="shared" si="23"/>
        <v>0</v>
      </c>
      <c r="O49" s="11"/>
      <c r="P49" s="7"/>
      <c r="Q49" s="2"/>
      <c r="R49" s="6">
        <f t="shared" si="24"/>
        <v>0</v>
      </c>
      <c r="S49" s="2"/>
      <c r="T49" s="7">
        <v>0</v>
      </c>
      <c r="U49" s="2"/>
      <c r="V49" s="6">
        <f t="shared" si="25"/>
        <v>0</v>
      </c>
      <c r="W49" s="2"/>
      <c r="X49" s="7">
        <f t="shared" si="26"/>
        <v>0</v>
      </c>
      <c r="Y49" s="2"/>
      <c r="Z49" s="6">
        <f t="shared" si="27"/>
        <v>0</v>
      </c>
    </row>
    <row r="50" spans="1:26" s="28" customFormat="1" outlineLevel="1" collapsed="1" x14ac:dyDescent="0.25">
      <c r="A50" s="27"/>
      <c r="B50" s="14" t="str">
        <f>CONCATENATE("     ","Advertising/Promo                                 ")</f>
        <v xml:space="preserve">     Advertising/Promo                                 </v>
      </c>
      <c r="C50" s="14"/>
      <c r="D50" s="1">
        <f>SUM(OSRRefD22_2x_0)</f>
        <v>933.53</v>
      </c>
      <c r="E50" s="1"/>
      <c r="F50" s="5">
        <f t="shared" ref="F50:F58" si="28">IF(D$12=0,0,D50/D$12)</f>
        <v>5.9966234602686617E-4</v>
      </c>
      <c r="G50" s="1"/>
      <c r="H50" s="1">
        <f>SUM(OSRRefH22_2x_0)</f>
        <v>1319</v>
      </c>
      <c r="I50" s="1"/>
      <c r="J50" s="5">
        <f t="shared" ref="J50:J58" si="29">IF(H$12=0,0,H50/H$12)</f>
        <v>1.0562977045745939E-3</v>
      </c>
      <c r="K50" s="1"/>
      <c r="L50" s="1">
        <f t="shared" ref="L50:L58" si="30">+D50-H50</f>
        <v>-385.47</v>
      </c>
      <c r="M50" s="1"/>
      <c r="N50" s="5">
        <f t="shared" ref="N50:N58" si="31">IF(H50=0,0,L50/H50)</f>
        <v>-0.29224412433661867</v>
      </c>
      <c r="O50" s="14"/>
      <c r="P50" s="1">
        <f>SUM(OSRRefP22_2x_0)</f>
        <v>3497.96</v>
      </c>
      <c r="Q50" s="1"/>
      <c r="R50" s="5">
        <f t="shared" ref="R50:R58" si="32">IF(P$12=0,0,P50/P$12)</f>
        <v>1.638425556208628E-3</v>
      </c>
      <c r="S50" s="1"/>
      <c r="T50" s="1">
        <f>SUM(OSRRefT22_2x_0)</f>
        <v>3957</v>
      </c>
      <c r="U50" s="1"/>
      <c r="V50" s="5">
        <f t="shared" ref="V50:V58" si="33">IF(T$12=0,0,T50/T$12)</f>
        <v>2.4973335268761556E-3</v>
      </c>
      <c r="W50" s="1"/>
      <c r="X50" s="1">
        <f t="shared" ref="X50:X58" si="34">+P50-T50</f>
        <v>-459.03999999999996</v>
      </c>
      <c r="Y50" s="1"/>
      <c r="Z50" s="5">
        <f t="shared" ref="Z50:Z58" si="35">IF(T50=0,0,X50/T50)</f>
        <v>-0.11600707606772807</v>
      </c>
    </row>
    <row r="51" spans="1:26" s="24" customFormat="1" hidden="1" outlineLevel="2" x14ac:dyDescent="0.25">
      <c r="A51" s="29"/>
      <c r="B51" s="11" t="str">
        <f>CONCATENATE("          ", "6362", " - ", "ADVERTISING EXPENSE")</f>
        <v xml:space="preserve">          6362 - ADVERTISING EXPENSE</v>
      </c>
      <c r="C51" s="11"/>
      <c r="D51" s="7">
        <v>933.53</v>
      </c>
      <c r="E51" s="2"/>
      <c r="F51" s="6">
        <f t="shared" si="28"/>
        <v>5.9966234602686617E-4</v>
      </c>
      <c r="G51" s="2"/>
      <c r="H51" s="7">
        <v>1319</v>
      </c>
      <c r="I51" s="2"/>
      <c r="J51" s="6">
        <f t="shared" si="29"/>
        <v>1.0562977045745939E-3</v>
      </c>
      <c r="K51" s="2"/>
      <c r="L51" s="7">
        <f t="shared" si="30"/>
        <v>-385.47</v>
      </c>
      <c r="M51" s="2"/>
      <c r="N51" s="6">
        <f t="shared" si="31"/>
        <v>-0.29224412433661867</v>
      </c>
      <c r="O51" s="11"/>
      <c r="P51" s="7">
        <v>3497.96</v>
      </c>
      <c r="Q51" s="2"/>
      <c r="R51" s="6">
        <f t="shared" si="32"/>
        <v>1.638425556208628E-3</v>
      </c>
      <c r="S51" s="2"/>
      <c r="T51" s="7">
        <v>3957</v>
      </c>
      <c r="U51" s="2"/>
      <c r="V51" s="6">
        <f t="shared" si="33"/>
        <v>2.4973335268761556E-3</v>
      </c>
      <c r="W51" s="2"/>
      <c r="X51" s="7">
        <f t="shared" si="34"/>
        <v>-459.03999999999996</v>
      </c>
      <c r="Y51" s="2"/>
      <c r="Z51" s="6">
        <f t="shared" si="35"/>
        <v>-0.11600707606772807</v>
      </c>
    </row>
    <row r="52" spans="1:26" s="28" customFormat="1" outlineLevel="1" collapsed="1" x14ac:dyDescent="0.25">
      <c r="A52" s="27"/>
      <c r="B52" s="14" t="str">
        <f>CONCATENATE("     ","Bad Debts/Over/Short                              ")</f>
        <v xml:space="preserve">     Bad Debts/Over/Short                              </v>
      </c>
      <c r="C52" s="14"/>
      <c r="D52" s="1">
        <f>SUM(OSRRefD22_3x_0)</f>
        <v>-7.95</v>
      </c>
      <c r="E52" s="1"/>
      <c r="F52" s="5">
        <f t="shared" si="28"/>
        <v>-5.1067621296729475E-6</v>
      </c>
      <c r="G52" s="1"/>
      <c r="H52" s="1">
        <f>SUM(OSRRefH22_3x_0)</f>
        <v>43</v>
      </c>
      <c r="I52" s="1"/>
      <c r="J52" s="5">
        <f t="shared" si="29"/>
        <v>3.4435785668466671E-5</v>
      </c>
      <c r="K52" s="1"/>
      <c r="L52" s="1">
        <f t="shared" si="30"/>
        <v>-50.95</v>
      </c>
      <c r="M52" s="1"/>
      <c r="N52" s="5">
        <f t="shared" si="31"/>
        <v>-1.1848837209302325</v>
      </c>
      <c r="O52" s="14"/>
      <c r="P52" s="1">
        <f>SUM(OSRRefP22_3x_0)</f>
        <v>-115.19</v>
      </c>
      <c r="Q52" s="1"/>
      <c r="R52" s="5">
        <f t="shared" si="32"/>
        <v>-5.395437335466153E-5</v>
      </c>
      <c r="S52" s="1"/>
      <c r="T52" s="1">
        <f>SUM(OSRRefT22_3x_0)</f>
        <v>111</v>
      </c>
      <c r="U52" s="1"/>
      <c r="V52" s="5">
        <f t="shared" si="33"/>
        <v>7.0054086803955846E-5</v>
      </c>
      <c r="W52" s="1"/>
      <c r="X52" s="1">
        <f t="shared" si="34"/>
        <v>-226.19</v>
      </c>
      <c r="Y52" s="1"/>
      <c r="Z52" s="5">
        <f t="shared" si="35"/>
        <v>-2.0377477477477477</v>
      </c>
    </row>
    <row r="53" spans="1:26" s="24" customFormat="1" hidden="1" outlineLevel="2" x14ac:dyDescent="0.25">
      <c r="A53" s="29"/>
      <c r="B53" s="11" t="str">
        <f>CONCATENATE("          ", "6272", " - ", "CASH (OVER/SHORT)")</f>
        <v xml:space="preserve">          6272 - CASH (OVER/SHORT)</v>
      </c>
      <c r="C53" s="11"/>
      <c r="D53" s="7">
        <v>-7.95</v>
      </c>
      <c r="E53" s="2"/>
      <c r="F53" s="6">
        <f t="shared" si="28"/>
        <v>-5.1067621296729475E-6</v>
      </c>
      <c r="G53" s="2"/>
      <c r="H53" s="7">
        <v>43</v>
      </c>
      <c r="I53" s="2"/>
      <c r="J53" s="6">
        <f t="shared" si="29"/>
        <v>3.4435785668466671E-5</v>
      </c>
      <c r="K53" s="2"/>
      <c r="L53" s="7">
        <f t="shared" si="30"/>
        <v>-50.95</v>
      </c>
      <c r="M53" s="2"/>
      <c r="N53" s="6">
        <f t="shared" si="31"/>
        <v>-1.1848837209302325</v>
      </c>
      <c r="O53" s="11"/>
      <c r="P53" s="7">
        <v>-115.19</v>
      </c>
      <c r="Q53" s="2"/>
      <c r="R53" s="6">
        <f t="shared" si="32"/>
        <v>-5.395437335466153E-5</v>
      </c>
      <c r="S53" s="2"/>
      <c r="T53" s="7">
        <v>111</v>
      </c>
      <c r="U53" s="2"/>
      <c r="V53" s="6">
        <f t="shared" si="33"/>
        <v>7.0054086803955846E-5</v>
      </c>
      <c r="W53" s="2"/>
      <c r="X53" s="7">
        <f t="shared" si="34"/>
        <v>-226.19</v>
      </c>
      <c r="Y53" s="2"/>
      <c r="Z53" s="6">
        <f t="shared" si="35"/>
        <v>-2.0377477477477477</v>
      </c>
    </row>
    <row r="54" spans="1:26" s="28" customFormat="1" outlineLevel="1" collapsed="1" x14ac:dyDescent="0.25">
      <c r="A54" s="27"/>
      <c r="B54" s="14" t="str">
        <f>CONCATENATE("     ","Bank/card Fees                                    ")</f>
        <v xml:space="preserve">     Bank/card Fees                                    </v>
      </c>
      <c r="C54" s="14"/>
      <c r="D54" s="1">
        <f>SUM(OSRRefD22_4x_0)</f>
        <v>4934.43</v>
      </c>
      <c r="E54" s="1"/>
      <c r="F54" s="5">
        <f t="shared" si="28"/>
        <v>3.1696805352857964E-3</v>
      </c>
      <c r="G54" s="1"/>
      <c r="H54" s="1">
        <f>SUM(OSRRefH22_4x_0)</f>
        <v>6454</v>
      </c>
      <c r="I54" s="1"/>
      <c r="J54" s="5">
        <f t="shared" si="29"/>
        <v>5.1685711791693931E-3</v>
      </c>
      <c r="K54" s="1"/>
      <c r="L54" s="1">
        <f t="shared" si="30"/>
        <v>-1519.5699999999997</v>
      </c>
      <c r="M54" s="1"/>
      <c r="N54" s="5">
        <f t="shared" si="31"/>
        <v>-0.23544623489308952</v>
      </c>
      <c r="O54" s="14"/>
      <c r="P54" s="1">
        <f>SUM(OSRRefP22_4x_0)</f>
        <v>8407.8700000000008</v>
      </c>
      <c r="Q54" s="1"/>
      <c r="R54" s="5">
        <f t="shared" si="32"/>
        <v>3.9382008602956691E-3</v>
      </c>
      <c r="S54" s="1"/>
      <c r="T54" s="1">
        <f>SUM(OSRRefT22_4x_0)</f>
        <v>11113</v>
      </c>
      <c r="U54" s="1"/>
      <c r="V54" s="5">
        <f t="shared" si="33"/>
        <v>7.0136132130843359E-3</v>
      </c>
      <c r="W54" s="1"/>
      <c r="X54" s="1">
        <f t="shared" si="34"/>
        <v>-2705.1299999999992</v>
      </c>
      <c r="Y54" s="1"/>
      <c r="Z54" s="5">
        <f t="shared" si="35"/>
        <v>-0.24342031854584714</v>
      </c>
    </row>
    <row r="55" spans="1:26" s="24" customFormat="1" hidden="1" outlineLevel="2" x14ac:dyDescent="0.25">
      <c r="A55" s="29"/>
      <c r="B55" s="11" t="str">
        <f>CONCATENATE("          ", "6381", " - ", "BANK/CREDIT CARD FEES")</f>
        <v xml:space="preserve">          6381 - BANK/CREDIT CARD FEES</v>
      </c>
      <c r="C55" s="11"/>
      <c r="D55" s="7">
        <v>4934.43</v>
      </c>
      <c r="E55" s="2"/>
      <c r="F55" s="6">
        <f t="shared" si="28"/>
        <v>3.1696805352857964E-3</v>
      </c>
      <c r="G55" s="2"/>
      <c r="H55" s="7">
        <v>6454</v>
      </c>
      <c r="I55" s="2"/>
      <c r="J55" s="6">
        <f t="shared" si="29"/>
        <v>5.1685711791693931E-3</v>
      </c>
      <c r="K55" s="2"/>
      <c r="L55" s="7">
        <f t="shared" si="30"/>
        <v>-1519.5699999999997</v>
      </c>
      <c r="M55" s="2"/>
      <c r="N55" s="6">
        <f t="shared" si="31"/>
        <v>-0.23544623489308952</v>
      </c>
      <c r="O55" s="11"/>
      <c r="P55" s="7">
        <v>8407.8700000000008</v>
      </c>
      <c r="Q55" s="2"/>
      <c r="R55" s="6">
        <f t="shared" si="32"/>
        <v>3.9382008602956691E-3</v>
      </c>
      <c r="S55" s="2"/>
      <c r="T55" s="7">
        <v>11113</v>
      </c>
      <c r="U55" s="2"/>
      <c r="V55" s="6">
        <f t="shared" si="33"/>
        <v>7.0136132130843359E-3</v>
      </c>
      <c r="W55" s="2"/>
      <c r="X55" s="7">
        <f t="shared" si="34"/>
        <v>-2705.1299999999992</v>
      </c>
      <c r="Y55" s="2"/>
      <c r="Z55" s="6">
        <f t="shared" si="35"/>
        <v>-0.24342031854584714</v>
      </c>
    </row>
    <row r="56" spans="1:26" s="28" customFormat="1" outlineLevel="1" collapsed="1" x14ac:dyDescent="0.25">
      <c r="A56" s="27"/>
      <c r="B56" s="14" t="str">
        <f>CONCATENATE("     ","Depreciation                                      ")</f>
        <v xml:space="preserve">     Depreciation                                      </v>
      </c>
      <c r="C56" s="14"/>
      <c r="D56" s="1">
        <f>SUM(OSRRefD22_5x_0)</f>
        <v>33542.080000000002</v>
      </c>
      <c r="E56" s="1"/>
      <c r="F56" s="5">
        <f t="shared" si="28"/>
        <v>2.1546091055906966E-2</v>
      </c>
      <c r="G56" s="1"/>
      <c r="H56" s="1">
        <f>SUM(OSRRefH22_5x_0)</f>
        <v>33269</v>
      </c>
      <c r="I56" s="1"/>
      <c r="J56" s="5">
        <f t="shared" si="29"/>
        <v>2.6642887288470179E-2</v>
      </c>
      <c r="K56" s="1"/>
      <c r="L56" s="1">
        <f t="shared" si="30"/>
        <v>273.08000000000175</v>
      </c>
      <c r="M56" s="1"/>
      <c r="N56" s="5">
        <f t="shared" si="31"/>
        <v>8.208241906880331E-3</v>
      </c>
      <c r="O56" s="14"/>
      <c r="P56" s="1">
        <f>SUM(OSRRefP22_5x_0)</f>
        <v>100714.38</v>
      </c>
      <c r="Q56" s="1"/>
      <c r="R56" s="5">
        <f t="shared" si="32"/>
        <v>4.7174071192840145E-2</v>
      </c>
      <c r="S56" s="1"/>
      <c r="T56" s="1">
        <f>SUM(OSRRefT22_5x_0)</f>
        <v>99895</v>
      </c>
      <c r="U56" s="1"/>
      <c r="V56" s="5">
        <f t="shared" si="33"/>
        <v>6.3045522534064591E-2</v>
      </c>
      <c r="W56" s="1"/>
      <c r="X56" s="1">
        <f t="shared" si="34"/>
        <v>819.38000000000466</v>
      </c>
      <c r="Y56" s="1"/>
      <c r="Z56" s="5">
        <f t="shared" si="35"/>
        <v>8.2024125331598644E-3</v>
      </c>
    </row>
    <row r="57" spans="1:26" s="24" customFormat="1" hidden="1" outlineLevel="2" x14ac:dyDescent="0.25">
      <c r="A57" s="29"/>
      <c r="B57" s="11" t="str">
        <f>CONCATENATE("          ", "6321", " - ", "BUILDING DEPRECIATION")</f>
        <v xml:space="preserve">          6321 - BUILDING DEPRECIATION</v>
      </c>
      <c r="C57" s="11"/>
      <c r="D57" s="7">
        <v>23539.4</v>
      </c>
      <c r="E57" s="2"/>
      <c r="F57" s="6">
        <f t="shared" si="28"/>
        <v>1.5120769367952626E-2</v>
      </c>
      <c r="G57" s="2"/>
      <c r="H57" s="7"/>
      <c r="I57" s="2"/>
      <c r="J57" s="6">
        <f t="shared" si="29"/>
        <v>0</v>
      </c>
      <c r="K57" s="2"/>
      <c r="L57" s="7">
        <f t="shared" si="30"/>
        <v>23539.4</v>
      </c>
      <c r="M57" s="2"/>
      <c r="N57" s="6">
        <f t="shared" si="31"/>
        <v>0</v>
      </c>
      <c r="O57" s="11"/>
      <c r="P57" s="7">
        <v>70706.34</v>
      </c>
      <c r="Q57" s="2"/>
      <c r="R57" s="6">
        <f t="shared" si="32"/>
        <v>3.3118467461599431E-2</v>
      </c>
      <c r="S57" s="2"/>
      <c r="T57" s="7"/>
      <c r="U57" s="2"/>
      <c r="V57" s="6">
        <f t="shared" si="33"/>
        <v>0</v>
      </c>
      <c r="W57" s="2"/>
      <c r="X57" s="7">
        <f t="shared" si="34"/>
        <v>70706.34</v>
      </c>
      <c r="Y57" s="2"/>
      <c r="Z57" s="6">
        <f t="shared" si="35"/>
        <v>0</v>
      </c>
    </row>
    <row r="58" spans="1:26" s="24" customFormat="1" hidden="1" outlineLevel="2" x14ac:dyDescent="0.25">
      <c r="A58" s="29"/>
      <c r="B58" s="11" t="str">
        <f>CONCATENATE("          ", "6322", " - ", "EQUIPMENT DEPRECIATION EXPENSE")</f>
        <v xml:space="preserve">          6322 - EQUIPMENT DEPRECIATION EXPENSE</v>
      </c>
      <c r="C58" s="11"/>
      <c r="D58" s="7">
        <v>10002.68</v>
      </c>
      <c r="E58" s="2"/>
      <c r="F58" s="6">
        <f t="shared" si="28"/>
        <v>6.4253216879543388E-3</v>
      </c>
      <c r="G58" s="2"/>
      <c r="H58" s="7">
        <v>33269</v>
      </c>
      <c r="I58" s="2"/>
      <c r="J58" s="6">
        <f t="shared" si="29"/>
        <v>2.6642887288470179E-2</v>
      </c>
      <c r="K58" s="2"/>
      <c r="L58" s="7">
        <f t="shared" si="30"/>
        <v>-23266.32</v>
      </c>
      <c r="M58" s="2"/>
      <c r="N58" s="6">
        <f t="shared" si="31"/>
        <v>-0.69933932489705131</v>
      </c>
      <c r="O58" s="11"/>
      <c r="P58" s="7">
        <v>30008.04</v>
      </c>
      <c r="Q58" s="2"/>
      <c r="R58" s="6">
        <f t="shared" si="32"/>
        <v>1.405560373124071E-2</v>
      </c>
      <c r="S58" s="2"/>
      <c r="T58" s="7">
        <v>99895</v>
      </c>
      <c r="U58" s="2"/>
      <c r="V58" s="6">
        <f t="shared" si="33"/>
        <v>6.3045522534064591E-2</v>
      </c>
      <c r="W58" s="2"/>
      <c r="X58" s="7">
        <f t="shared" si="34"/>
        <v>-69886.959999999992</v>
      </c>
      <c r="Y58" s="2"/>
      <c r="Z58" s="6">
        <f t="shared" si="35"/>
        <v>-0.69960418439361316</v>
      </c>
    </row>
    <row r="59" spans="1:26" s="28" customFormat="1" outlineLevel="1" collapsed="1" x14ac:dyDescent="0.25">
      <c r="A59" s="27"/>
      <c r="B59" s="14" t="str">
        <f>CONCATENATE("     ","Donations                                         ")</f>
        <v xml:space="preserve">     Donations                                         </v>
      </c>
      <c r="C59" s="14"/>
      <c r="D59" s="1">
        <f>SUM(OSRRefD22_6x_0)</f>
        <v>9653.6200000000008</v>
      </c>
      <c r="E59" s="1"/>
      <c r="F59" s="5">
        <f t="shared" ref="F59:F78" si="36">IF(D$12=0,0,D59/D$12)</f>
        <v>6.2010995006608E-3</v>
      </c>
      <c r="G59" s="1"/>
      <c r="H59" s="1">
        <f>SUM(OSRRefH22_6x_0)</f>
        <v>15500</v>
      </c>
      <c r="I59" s="1"/>
      <c r="J59" s="5">
        <f t="shared" ref="J59:J78" si="37">IF(H$12=0,0,H59/H$12)</f>
        <v>1.2412899485144962E-2</v>
      </c>
      <c r="K59" s="1"/>
      <c r="L59" s="1">
        <f t="shared" ref="L59:L78" si="38">+D59-H59</f>
        <v>-5846.3799999999992</v>
      </c>
      <c r="M59" s="1"/>
      <c r="N59" s="5">
        <f t="shared" ref="N59:N78" si="39">IF(H59=0,0,L59/H59)</f>
        <v>-0.37718580645161287</v>
      </c>
      <c r="O59" s="14"/>
      <c r="P59" s="1">
        <f>SUM(OSRRefP22_6x_0)</f>
        <v>13915.18</v>
      </c>
      <c r="Q59" s="1"/>
      <c r="R59" s="5">
        <f t="shared" ref="R59:R78" si="40">IF(P$12=0,0,P59/P$12)</f>
        <v>6.5177950952106873E-3</v>
      </c>
      <c r="S59" s="1"/>
      <c r="T59" s="1">
        <f>SUM(OSRRefT22_6x_0)</f>
        <v>31000</v>
      </c>
      <c r="U59" s="1"/>
      <c r="V59" s="5">
        <f t="shared" ref="V59:V78" si="41">IF(T$12=0,0,T59/T$12)</f>
        <v>1.9564654873176858E-2</v>
      </c>
      <c r="W59" s="1"/>
      <c r="X59" s="1">
        <f t="shared" ref="X59:X78" si="42">+P59-T59</f>
        <v>-17084.82</v>
      </c>
      <c r="Y59" s="1"/>
      <c r="Z59" s="5">
        <f t="shared" ref="Z59:Z78" si="43">IF(T59=0,0,X59/T59)</f>
        <v>-0.55112322580645157</v>
      </c>
    </row>
    <row r="60" spans="1:26" s="24" customFormat="1" hidden="1" outlineLevel="2" x14ac:dyDescent="0.25">
      <c r="A60" s="29"/>
      <c r="B60" s="11" t="str">
        <f>CONCATENATE("          ", "6399", " - ", "DONATION-ON CAMPUS")</f>
        <v xml:space="preserve">          6399 - DONATION-ON CAMPUS</v>
      </c>
      <c r="C60" s="11"/>
      <c r="D60" s="7">
        <v>9653.6200000000008</v>
      </c>
      <c r="E60" s="2"/>
      <c r="F60" s="6">
        <f t="shared" si="36"/>
        <v>6.2010995006608E-3</v>
      </c>
      <c r="G60" s="2"/>
      <c r="H60" s="7">
        <v>15500</v>
      </c>
      <c r="I60" s="2"/>
      <c r="J60" s="6">
        <f t="shared" si="37"/>
        <v>1.2412899485144962E-2</v>
      </c>
      <c r="K60" s="2"/>
      <c r="L60" s="7">
        <f t="shared" si="38"/>
        <v>-5846.3799999999992</v>
      </c>
      <c r="M60" s="2"/>
      <c r="N60" s="6">
        <f t="shared" si="39"/>
        <v>-0.37718580645161287</v>
      </c>
      <c r="O60" s="11"/>
      <c r="P60" s="7">
        <v>13915.18</v>
      </c>
      <c r="Q60" s="2"/>
      <c r="R60" s="6">
        <f t="shared" si="40"/>
        <v>6.5177950952106873E-3</v>
      </c>
      <c r="S60" s="2"/>
      <c r="T60" s="7">
        <v>31000</v>
      </c>
      <c r="U60" s="2"/>
      <c r="V60" s="6">
        <f t="shared" si="41"/>
        <v>1.9564654873176858E-2</v>
      </c>
      <c r="W60" s="2"/>
      <c r="X60" s="7">
        <f t="shared" si="42"/>
        <v>-17084.82</v>
      </c>
      <c r="Y60" s="2"/>
      <c r="Z60" s="6">
        <f t="shared" si="43"/>
        <v>-0.55112322580645157</v>
      </c>
    </row>
    <row r="61" spans="1:26" s="28" customFormat="1" outlineLevel="1" collapsed="1" x14ac:dyDescent="0.25">
      <c r="A61" s="27"/>
      <c r="B61" s="14" t="str">
        <f>CONCATENATE("     ","Employees' Appreciation                           ")</f>
        <v xml:space="preserve">     Employees' Appreciation                           </v>
      </c>
      <c r="C61" s="14"/>
      <c r="D61" s="1">
        <f>SUM(OSRRefD22_7x_0)</f>
        <v>14.49</v>
      </c>
      <c r="E61" s="1"/>
      <c r="F61" s="5">
        <f t="shared" si="36"/>
        <v>9.3077966363472964E-6</v>
      </c>
      <c r="G61" s="1"/>
      <c r="H61" s="1">
        <f>SUM(OSRRefH22_7x_0)</f>
        <v>400</v>
      </c>
      <c r="I61" s="1"/>
      <c r="J61" s="5">
        <f t="shared" si="37"/>
        <v>3.2033288993922485E-4</v>
      </c>
      <c r="K61" s="1"/>
      <c r="L61" s="1">
        <f t="shared" si="38"/>
        <v>-385.51</v>
      </c>
      <c r="M61" s="1"/>
      <c r="N61" s="5">
        <f t="shared" si="39"/>
        <v>-0.96377499999999994</v>
      </c>
      <c r="O61" s="14"/>
      <c r="P61" s="1">
        <f>SUM(OSRRefP22_7x_0)</f>
        <v>32.49</v>
      </c>
      <c r="Q61" s="1"/>
      <c r="R61" s="5">
        <f t="shared" si="40"/>
        <v>1.5218140379312033E-5</v>
      </c>
      <c r="S61" s="1"/>
      <c r="T61" s="1">
        <f>SUM(OSRRefT22_7x_0)</f>
        <v>840</v>
      </c>
      <c r="U61" s="1"/>
      <c r="V61" s="5">
        <f t="shared" si="41"/>
        <v>5.3013903527317934E-4</v>
      </c>
      <c r="W61" s="1"/>
      <c r="X61" s="1">
        <f t="shared" si="42"/>
        <v>-807.51</v>
      </c>
      <c r="Y61" s="1"/>
      <c r="Z61" s="5">
        <f t="shared" si="43"/>
        <v>-0.96132142857142855</v>
      </c>
    </row>
    <row r="62" spans="1:26" s="24" customFormat="1" hidden="1" outlineLevel="2" x14ac:dyDescent="0.25">
      <c r="A62" s="29"/>
      <c r="B62" s="11" t="str">
        <f>CONCATENATE("          ", "6277", " - ", "EMPLOYEE APPRECIATION")</f>
        <v xml:space="preserve">          6277 - EMPLOYEE APPRECIATION</v>
      </c>
      <c r="C62" s="11"/>
      <c r="D62" s="7">
        <v>14.49</v>
      </c>
      <c r="E62" s="2"/>
      <c r="F62" s="6">
        <f t="shared" si="36"/>
        <v>9.3077966363472964E-6</v>
      </c>
      <c r="G62" s="2"/>
      <c r="H62" s="7">
        <v>400</v>
      </c>
      <c r="I62" s="2"/>
      <c r="J62" s="6">
        <f t="shared" si="37"/>
        <v>3.2033288993922485E-4</v>
      </c>
      <c r="K62" s="2"/>
      <c r="L62" s="7">
        <f t="shared" si="38"/>
        <v>-385.51</v>
      </c>
      <c r="M62" s="2"/>
      <c r="N62" s="6">
        <f t="shared" si="39"/>
        <v>-0.96377499999999994</v>
      </c>
      <c r="O62" s="11"/>
      <c r="P62" s="7">
        <v>32.49</v>
      </c>
      <c r="Q62" s="2"/>
      <c r="R62" s="6">
        <f t="shared" si="40"/>
        <v>1.5218140379312033E-5</v>
      </c>
      <c r="S62" s="2"/>
      <c r="T62" s="7">
        <v>840</v>
      </c>
      <c r="U62" s="2"/>
      <c r="V62" s="6">
        <f t="shared" si="41"/>
        <v>5.3013903527317934E-4</v>
      </c>
      <c r="W62" s="2"/>
      <c r="X62" s="7">
        <f t="shared" si="42"/>
        <v>-807.51</v>
      </c>
      <c r="Y62" s="2"/>
      <c r="Z62" s="6">
        <f t="shared" si="43"/>
        <v>-0.96132142857142855</v>
      </c>
    </row>
    <row r="63" spans="1:26" s="28" customFormat="1" outlineLevel="1" collapsed="1" x14ac:dyDescent="0.25">
      <c r="A63" s="27"/>
      <c r="B63" s="14" t="str">
        <f>CONCATENATE("     ","Equipment Rental                                  ")</f>
        <v xml:space="preserve">     Equipment Rental                                  </v>
      </c>
      <c r="C63" s="14"/>
      <c r="D63" s="1">
        <f>SUM(OSRRefD22_8x_0)</f>
        <v>411.46</v>
      </c>
      <c r="E63" s="1"/>
      <c r="F63" s="5">
        <f t="shared" si="36"/>
        <v>2.6430545231134978E-4</v>
      </c>
      <c r="G63" s="1"/>
      <c r="H63" s="1">
        <f>SUM(OSRRefH22_8x_0)</f>
        <v>1570</v>
      </c>
      <c r="I63" s="1"/>
      <c r="J63" s="5">
        <f t="shared" si="37"/>
        <v>1.2573065930114576E-3</v>
      </c>
      <c r="K63" s="1"/>
      <c r="L63" s="1">
        <f t="shared" si="38"/>
        <v>-1158.54</v>
      </c>
      <c r="M63" s="1"/>
      <c r="N63" s="5">
        <f t="shared" si="39"/>
        <v>-0.73792356687898086</v>
      </c>
      <c r="O63" s="14"/>
      <c r="P63" s="1">
        <f>SUM(OSRRefP22_8x_0)</f>
        <v>7009.04</v>
      </c>
      <c r="Q63" s="1"/>
      <c r="R63" s="5">
        <f t="shared" si="40"/>
        <v>3.2829964494987137E-3</v>
      </c>
      <c r="S63" s="1"/>
      <c r="T63" s="1">
        <f>SUM(OSRRefT22_8x_0)</f>
        <v>4710</v>
      </c>
      <c r="U63" s="1"/>
      <c r="V63" s="5">
        <f t="shared" si="41"/>
        <v>2.9725653049246128E-3</v>
      </c>
      <c r="W63" s="1"/>
      <c r="X63" s="1">
        <f t="shared" si="42"/>
        <v>2299.04</v>
      </c>
      <c r="Y63" s="1"/>
      <c r="Z63" s="5">
        <f t="shared" si="43"/>
        <v>0.4881188959660297</v>
      </c>
    </row>
    <row r="64" spans="1:26" s="24" customFormat="1" hidden="1" outlineLevel="2" x14ac:dyDescent="0.25">
      <c r="A64" s="29"/>
      <c r="B64" s="11" t="str">
        <f>CONCATENATE("          ", "6351", " - ", "EQUIPMENT RENTAL")</f>
        <v xml:space="preserve">          6351 - EQUIPMENT RENTAL</v>
      </c>
      <c r="C64" s="11"/>
      <c r="D64" s="7">
        <v>411.46</v>
      </c>
      <c r="E64" s="2"/>
      <c r="F64" s="6">
        <f t="shared" si="36"/>
        <v>2.6430545231134978E-4</v>
      </c>
      <c r="G64" s="2"/>
      <c r="H64" s="7">
        <v>1570</v>
      </c>
      <c r="I64" s="2"/>
      <c r="J64" s="6">
        <f t="shared" si="37"/>
        <v>1.2573065930114576E-3</v>
      </c>
      <c r="K64" s="2"/>
      <c r="L64" s="7">
        <f t="shared" si="38"/>
        <v>-1158.54</v>
      </c>
      <c r="M64" s="2"/>
      <c r="N64" s="6">
        <f t="shared" si="39"/>
        <v>-0.73792356687898086</v>
      </c>
      <c r="O64" s="11"/>
      <c r="P64" s="7">
        <v>7009.04</v>
      </c>
      <c r="Q64" s="2"/>
      <c r="R64" s="6">
        <f t="shared" si="40"/>
        <v>3.2829964494987137E-3</v>
      </c>
      <c r="S64" s="2"/>
      <c r="T64" s="7">
        <v>4710</v>
      </c>
      <c r="U64" s="2"/>
      <c r="V64" s="6">
        <f t="shared" si="41"/>
        <v>2.9725653049246128E-3</v>
      </c>
      <c r="W64" s="2"/>
      <c r="X64" s="7">
        <f t="shared" si="42"/>
        <v>2299.04</v>
      </c>
      <c r="Y64" s="2"/>
      <c r="Z64" s="6">
        <f t="shared" si="43"/>
        <v>0.4881188959660297</v>
      </c>
    </row>
    <row r="65" spans="1:26" s="28" customFormat="1" outlineLevel="1" collapsed="1" x14ac:dyDescent="0.25">
      <c r="A65" s="27"/>
      <c r="B65" s="14" t="str">
        <f>CONCATENATE("     ","General                                           ")</f>
        <v xml:space="preserve">     General                                           </v>
      </c>
      <c r="C65" s="14"/>
      <c r="D65" s="1">
        <f>SUM(OSRRefD22_9x_0)</f>
        <v>5273</v>
      </c>
      <c r="E65" s="1"/>
      <c r="F65" s="5">
        <f t="shared" si="36"/>
        <v>3.3871643660082326E-3</v>
      </c>
      <c r="G65" s="1"/>
      <c r="H65" s="1">
        <f>SUM(OSRRefH22_9x_0)</f>
        <v>560</v>
      </c>
      <c r="I65" s="1"/>
      <c r="J65" s="5">
        <f t="shared" si="37"/>
        <v>4.4846604591491479E-4</v>
      </c>
      <c r="K65" s="1"/>
      <c r="L65" s="1">
        <f t="shared" si="38"/>
        <v>4713</v>
      </c>
      <c r="M65" s="1"/>
      <c r="N65" s="5">
        <f t="shared" si="39"/>
        <v>8.4160714285714278</v>
      </c>
      <c r="O65" s="14"/>
      <c r="P65" s="1">
        <f>SUM(OSRRefP22_9x_0)</f>
        <v>23197.31</v>
      </c>
      <c r="Q65" s="1"/>
      <c r="R65" s="5">
        <f t="shared" si="40"/>
        <v>1.0865494613801749E-2</v>
      </c>
      <c r="S65" s="1"/>
      <c r="T65" s="1">
        <f>SUM(OSRRefT22_9x_0)</f>
        <v>9775</v>
      </c>
      <c r="U65" s="1"/>
      <c r="V65" s="5">
        <f t="shared" si="41"/>
        <v>6.1691774640420579E-3</v>
      </c>
      <c r="W65" s="1"/>
      <c r="X65" s="1">
        <f t="shared" si="42"/>
        <v>13422.310000000001</v>
      </c>
      <c r="Y65" s="1"/>
      <c r="Z65" s="5">
        <f t="shared" si="43"/>
        <v>1.3731263427109976</v>
      </c>
    </row>
    <row r="66" spans="1:26" s="24" customFormat="1" hidden="1" outlineLevel="2" x14ac:dyDescent="0.25">
      <c r="A66" s="29"/>
      <c r="B66" s="11" t="str">
        <f>CONCATENATE("          ", "6279", " - ", "GENERAL EXPENSE")</f>
        <v xml:space="preserve">          6279 - GENERAL EXPENSE</v>
      </c>
      <c r="C66" s="11"/>
      <c r="D66" s="7">
        <v>5273</v>
      </c>
      <c r="E66" s="2"/>
      <c r="F66" s="6">
        <f t="shared" si="36"/>
        <v>3.3871643660082326E-3</v>
      </c>
      <c r="G66" s="2"/>
      <c r="H66" s="7">
        <v>560</v>
      </c>
      <c r="I66" s="2"/>
      <c r="J66" s="6">
        <f t="shared" si="37"/>
        <v>4.4846604591491479E-4</v>
      </c>
      <c r="K66" s="2"/>
      <c r="L66" s="7">
        <f t="shared" si="38"/>
        <v>4713</v>
      </c>
      <c r="M66" s="2"/>
      <c r="N66" s="6">
        <f t="shared" si="39"/>
        <v>8.4160714285714278</v>
      </c>
      <c r="O66" s="11"/>
      <c r="P66" s="7">
        <v>23197.31</v>
      </c>
      <c r="Q66" s="2"/>
      <c r="R66" s="6">
        <f t="shared" si="40"/>
        <v>1.0865494613801749E-2</v>
      </c>
      <c r="S66" s="2"/>
      <c r="T66" s="7">
        <v>9775</v>
      </c>
      <c r="U66" s="2"/>
      <c r="V66" s="6">
        <f t="shared" si="41"/>
        <v>6.1691774640420579E-3</v>
      </c>
      <c r="W66" s="2"/>
      <c r="X66" s="7">
        <f t="shared" si="42"/>
        <v>13422.310000000001</v>
      </c>
      <c r="Y66" s="2"/>
      <c r="Z66" s="6">
        <f t="shared" si="43"/>
        <v>1.3731263427109976</v>
      </c>
    </row>
    <row r="67" spans="1:26" s="28" customFormat="1" outlineLevel="1" collapsed="1" x14ac:dyDescent="0.25">
      <c r="A67" s="27"/>
      <c r="B67" s="14" t="str">
        <f>CONCATENATE("     ","Insurance                                         ")</f>
        <v xml:space="preserve">     Insurance                                         </v>
      </c>
      <c r="C67" s="14"/>
      <c r="D67" s="1">
        <f>SUM(OSRRefD22_10x_0)</f>
        <v>5761.42</v>
      </c>
      <c r="E67" s="1"/>
      <c r="F67" s="5">
        <f t="shared" si="36"/>
        <v>3.7009058451748819E-3</v>
      </c>
      <c r="G67" s="1"/>
      <c r="H67" s="1">
        <f>SUM(OSRRefH22_10x_0)</f>
        <v>5680</v>
      </c>
      <c r="I67" s="1"/>
      <c r="J67" s="5">
        <f t="shared" si="37"/>
        <v>4.5487270371369929E-3</v>
      </c>
      <c r="K67" s="1"/>
      <c r="L67" s="1">
        <f t="shared" si="38"/>
        <v>81.420000000000073</v>
      </c>
      <c r="M67" s="1"/>
      <c r="N67" s="5">
        <f t="shared" si="39"/>
        <v>1.4334507042253534E-2</v>
      </c>
      <c r="O67" s="14"/>
      <c r="P67" s="1">
        <f>SUM(OSRRefP22_10x_0)</f>
        <v>17284.27</v>
      </c>
      <c r="Q67" s="1"/>
      <c r="R67" s="5">
        <f t="shared" si="40"/>
        <v>8.0958586400102055E-3</v>
      </c>
      <c r="S67" s="1"/>
      <c r="T67" s="1">
        <f>SUM(OSRRefT22_10x_0)</f>
        <v>17040</v>
      </c>
      <c r="U67" s="1"/>
      <c r="V67" s="5">
        <f t="shared" si="41"/>
        <v>1.0754249001255925E-2</v>
      </c>
      <c r="W67" s="1"/>
      <c r="X67" s="1">
        <f t="shared" si="42"/>
        <v>244.27000000000044</v>
      </c>
      <c r="Y67" s="1"/>
      <c r="Z67" s="5">
        <f t="shared" si="43"/>
        <v>1.4335093896713641E-2</v>
      </c>
    </row>
    <row r="68" spans="1:26" s="24" customFormat="1" hidden="1" outlineLevel="2" x14ac:dyDescent="0.25">
      <c r="A68" s="29"/>
      <c r="B68" s="11" t="str">
        <f>CONCATENATE("          ", "6314", " - ", "LIABILITY INSURANCE")</f>
        <v xml:space="preserve">          6314 - LIABILITY INSURANCE</v>
      </c>
      <c r="C68" s="11"/>
      <c r="D68" s="7">
        <v>5761.42</v>
      </c>
      <c r="E68" s="2"/>
      <c r="F68" s="6">
        <f t="shared" si="36"/>
        <v>3.7009058451748819E-3</v>
      </c>
      <c r="G68" s="2"/>
      <c r="H68" s="7">
        <v>5680</v>
      </c>
      <c r="I68" s="2"/>
      <c r="J68" s="6">
        <f t="shared" si="37"/>
        <v>4.5487270371369929E-3</v>
      </c>
      <c r="K68" s="2"/>
      <c r="L68" s="7">
        <f t="shared" si="38"/>
        <v>81.420000000000073</v>
      </c>
      <c r="M68" s="2"/>
      <c r="N68" s="6">
        <f t="shared" si="39"/>
        <v>1.4334507042253534E-2</v>
      </c>
      <c r="O68" s="11"/>
      <c r="P68" s="7">
        <v>17284.27</v>
      </c>
      <c r="Q68" s="2"/>
      <c r="R68" s="6">
        <f t="shared" si="40"/>
        <v>8.0958586400102055E-3</v>
      </c>
      <c r="S68" s="2"/>
      <c r="T68" s="7">
        <v>17040</v>
      </c>
      <c r="U68" s="2"/>
      <c r="V68" s="6">
        <f t="shared" si="41"/>
        <v>1.0754249001255925E-2</v>
      </c>
      <c r="W68" s="2"/>
      <c r="X68" s="7">
        <f t="shared" si="42"/>
        <v>244.27000000000044</v>
      </c>
      <c r="Y68" s="2"/>
      <c r="Z68" s="6">
        <f t="shared" si="43"/>
        <v>1.4335093896713641E-2</v>
      </c>
    </row>
    <row r="69" spans="1:26" s="28" customFormat="1" outlineLevel="1" collapsed="1" x14ac:dyDescent="0.25">
      <c r="A69" s="27"/>
      <c r="B69" s="14" t="str">
        <f>CONCATENATE("     ","Interest                                          ")</f>
        <v xml:space="preserve">     Interest                                          </v>
      </c>
      <c r="C69" s="14"/>
      <c r="D69" s="1">
        <f>SUM(OSRRefD22_11x_0)</f>
        <v>7253</v>
      </c>
      <c r="E69" s="1"/>
      <c r="F69" s="5">
        <f t="shared" si="36"/>
        <v>4.6590371983041366E-3</v>
      </c>
      <c r="G69" s="1"/>
      <c r="H69" s="1">
        <f>SUM(OSRRefH22_11x_0)</f>
        <v>7253</v>
      </c>
      <c r="I69" s="1"/>
      <c r="J69" s="5">
        <f t="shared" si="37"/>
        <v>5.8084361268229941E-3</v>
      </c>
      <c r="K69" s="1"/>
      <c r="L69" s="1">
        <f t="shared" si="38"/>
        <v>0</v>
      </c>
      <c r="M69" s="1"/>
      <c r="N69" s="5">
        <f t="shared" si="39"/>
        <v>0</v>
      </c>
      <c r="O69" s="14"/>
      <c r="P69" s="1">
        <f>SUM(OSRRefP22_11x_0)</f>
        <v>21759</v>
      </c>
      <c r="Q69" s="1"/>
      <c r="R69" s="5">
        <f t="shared" si="40"/>
        <v>1.0191797984409065E-2</v>
      </c>
      <c r="S69" s="1"/>
      <c r="T69" s="1">
        <f>SUM(OSRRefT22_11x_0)</f>
        <v>21759</v>
      </c>
      <c r="U69" s="1"/>
      <c r="V69" s="5">
        <f t="shared" si="41"/>
        <v>1.373249436727275E-2</v>
      </c>
      <c r="W69" s="1"/>
      <c r="X69" s="1">
        <f t="shared" si="42"/>
        <v>0</v>
      </c>
      <c r="Y69" s="1"/>
      <c r="Z69" s="5">
        <f t="shared" si="43"/>
        <v>0</v>
      </c>
    </row>
    <row r="70" spans="1:26" s="24" customFormat="1" hidden="1" outlineLevel="2" x14ac:dyDescent="0.25">
      <c r="A70" s="29"/>
      <c r="B70" s="11" t="str">
        <f>CONCATENATE("          ", "6401", " - ", "INTEREST EXPENSE")</f>
        <v xml:space="preserve">          6401 - INTEREST EXPENSE</v>
      </c>
      <c r="C70" s="11"/>
      <c r="D70" s="7">
        <v>7253</v>
      </c>
      <c r="E70" s="2"/>
      <c r="F70" s="6">
        <f t="shared" si="36"/>
        <v>4.6590371983041366E-3</v>
      </c>
      <c r="G70" s="2"/>
      <c r="H70" s="7">
        <v>7253</v>
      </c>
      <c r="I70" s="2"/>
      <c r="J70" s="6">
        <f t="shared" si="37"/>
        <v>5.8084361268229941E-3</v>
      </c>
      <c r="K70" s="2"/>
      <c r="L70" s="7">
        <f t="shared" si="38"/>
        <v>0</v>
      </c>
      <c r="M70" s="2"/>
      <c r="N70" s="6">
        <f t="shared" si="39"/>
        <v>0</v>
      </c>
      <c r="O70" s="11"/>
      <c r="P70" s="7">
        <v>21759</v>
      </c>
      <c r="Q70" s="2"/>
      <c r="R70" s="6">
        <f t="shared" si="40"/>
        <v>1.0191797984409065E-2</v>
      </c>
      <c r="S70" s="2"/>
      <c r="T70" s="7">
        <v>21759</v>
      </c>
      <c r="U70" s="2"/>
      <c r="V70" s="6">
        <f t="shared" si="41"/>
        <v>1.373249436727275E-2</v>
      </c>
      <c r="W70" s="2"/>
      <c r="X70" s="7">
        <f t="shared" si="42"/>
        <v>0</v>
      </c>
      <c r="Y70" s="2"/>
      <c r="Z70" s="6">
        <f t="shared" si="43"/>
        <v>0</v>
      </c>
    </row>
    <row r="71" spans="1:26" s="28" customFormat="1" outlineLevel="1" collapsed="1" x14ac:dyDescent="0.25">
      <c r="A71" s="27"/>
      <c r="B71" s="14" t="str">
        <f>CONCATENATE("     ","R/H Commissions                                   ")</f>
        <v xml:space="preserve">     R/H Commissions                                   </v>
      </c>
      <c r="C71" s="14"/>
      <c r="D71" s="1">
        <f>SUM(OSRRefD22_12x_0)</f>
        <v>102646.99</v>
      </c>
      <c r="E71" s="1"/>
      <c r="F71" s="5">
        <f t="shared" si="36"/>
        <v>6.5936322170681474E-2</v>
      </c>
      <c r="G71" s="1"/>
      <c r="H71" s="1">
        <f>SUM(OSRRefH22_12x_0)</f>
        <v>90317</v>
      </c>
      <c r="I71" s="1"/>
      <c r="J71" s="5">
        <f t="shared" si="37"/>
        <v>7.2328764051602421E-2</v>
      </c>
      <c r="K71" s="1"/>
      <c r="L71" s="1">
        <f t="shared" si="38"/>
        <v>12329.990000000005</v>
      </c>
      <c r="M71" s="1"/>
      <c r="N71" s="5">
        <f t="shared" si="39"/>
        <v>0.13651903849773581</v>
      </c>
      <c r="O71" s="14"/>
      <c r="P71" s="1">
        <f>SUM(OSRRefP22_12x_0)</f>
        <v>142802.99</v>
      </c>
      <c r="Q71" s="1"/>
      <c r="R71" s="5">
        <f t="shared" si="40"/>
        <v>6.6888148612049628E-2</v>
      </c>
      <c r="S71" s="1"/>
      <c r="T71" s="1">
        <f>SUM(OSRRefT22_12x_0)</f>
        <v>112896</v>
      </c>
      <c r="U71" s="1"/>
      <c r="V71" s="5">
        <f t="shared" si="41"/>
        <v>7.1250686340715311E-2</v>
      </c>
      <c r="W71" s="1"/>
      <c r="X71" s="1">
        <f t="shared" si="42"/>
        <v>29906.989999999991</v>
      </c>
      <c r="Y71" s="1"/>
      <c r="Z71" s="5">
        <f t="shared" si="43"/>
        <v>0.26490743693310648</v>
      </c>
    </row>
    <row r="72" spans="1:26" s="24" customFormat="1" hidden="1" outlineLevel="2" x14ac:dyDescent="0.25">
      <c r="A72" s="29"/>
      <c r="B72" s="11" t="str">
        <f>CONCATENATE("          ", "6387", " - ", "COMMISSION DUE HOUSING")</f>
        <v xml:space="preserve">          6387 - COMMISSION DUE HOUSING</v>
      </c>
      <c r="C72" s="11"/>
      <c r="D72" s="7">
        <v>102646.99</v>
      </c>
      <c r="E72" s="2"/>
      <c r="F72" s="6">
        <f t="shared" si="36"/>
        <v>6.5936322170681474E-2</v>
      </c>
      <c r="G72" s="2"/>
      <c r="H72" s="7">
        <v>90317</v>
      </c>
      <c r="I72" s="2"/>
      <c r="J72" s="6">
        <f t="shared" si="37"/>
        <v>7.2328764051602421E-2</v>
      </c>
      <c r="K72" s="2"/>
      <c r="L72" s="7">
        <f t="shared" si="38"/>
        <v>12329.990000000005</v>
      </c>
      <c r="M72" s="2"/>
      <c r="N72" s="6">
        <f t="shared" si="39"/>
        <v>0.13651903849773581</v>
      </c>
      <c r="O72" s="11"/>
      <c r="P72" s="7">
        <v>142802.99</v>
      </c>
      <c r="Q72" s="2"/>
      <c r="R72" s="6">
        <f t="shared" si="40"/>
        <v>6.6888148612049628E-2</v>
      </c>
      <c r="S72" s="2"/>
      <c r="T72" s="7">
        <v>112896</v>
      </c>
      <c r="U72" s="2"/>
      <c r="V72" s="6">
        <f t="shared" si="41"/>
        <v>7.1250686340715311E-2</v>
      </c>
      <c r="W72" s="2"/>
      <c r="X72" s="7">
        <f t="shared" si="42"/>
        <v>29906.989999999991</v>
      </c>
      <c r="Y72" s="2"/>
      <c r="Z72" s="6">
        <f t="shared" si="43"/>
        <v>0.26490743693310648</v>
      </c>
    </row>
    <row r="73" spans="1:26" s="28" customFormat="1" outlineLevel="1" collapsed="1" x14ac:dyDescent="0.25">
      <c r="A73" s="27"/>
      <c r="B73" s="14" t="str">
        <f>CONCATENATE("     ","Rent                                              ")</f>
        <v xml:space="preserve">     Rent                                              </v>
      </c>
      <c r="C73" s="14"/>
      <c r="D73" s="1">
        <f>SUM(OSRRefD22_13x_0)</f>
        <v>1850</v>
      </c>
      <c r="E73" s="1"/>
      <c r="F73" s="5">
        <f t="shared" si="36"/>
        <v>1.1883660301754656E-3</v>
      </c>
      <c r="G73" s="1"/>
      <c r="H73" s="1">
        <f>SUM(OSRRefH22_13x_0)</f>
        <v>1850</v>
      </c>
      <c r="I73" s="1"/>
      <c r="J73" s="5">
        <f t="shared" si="37"/>
        <v>1.4815396159689148E-3</v>
      </c>
      <c r="K73" s="1"/>
      <c r="L73" s="1">
        <f t="shared" si="38"/>
        <v>0</v>
      </c>
      <c r="M73" s="1"/>
      <c r="N73" s="5">
        <f t="shared" si="39"/>
        <v>0</v>
      </c>
      <c r="O73" s="14"/>
      <c r="P73" s="1">
        <f>SUM(OSRRefP22_13x_0)</f>
        <v>5550</v>
      </c>
      <c r="Q73" s="1"/>
      <c r="R73" s="5">
        <f t="shared" si="40"/>
        <v>2.5995900001594885E-3</v>
      </c>
      <c r="S73" s="1"/>
      <c r="T73" s="1">
        <f>SUM(OSRRefT22_13x_0)</f>
        <v>5550</v>
      </c>
      <c r="U73" s="1"/>
      <c r="V73" s="5">
        <f t="shared" si="41"/>
        <v>3.5027043401977924E-3</v>
      </c>
      <c r="W73" s="1"/>
      <c r="X73" s="1">
        <f t="shared" si="42"/>
        <v>0</v>
      </c>
      <c r="Y73" s="1"/>
      <c r="Z73" s="5">
        <f t="shared" si="43"/>
        <v>0</v>
      </c>
    </row>
    <row r="74" spans="1:26" s="24" customFormat="1" hidden="1" outlineLevel="2" x14ac:dyDescent="0.25">
      <c r="A74" s="29"/>
      <c r="B74" s="11" t="str">
        <f>CONCATENATE("          ", "6273", " - ", "RENT")</f>
        <v xml:space="preserve">          6273 - RENT</v>
      </c>
      <c r="C74" s="11"/>
      <c r="D74" s="7">
        <v>1850</v>
      </c>
      <c r="E74" s="2"/>
      <c r="F74" s="6">
        <f t="shared" si="36"/>
        <v>1.1883660301754656E-3</v>
      </c>
      <c r="G74" s="2"/>
      <c r="H74" s="7">
        <v>1850</v>
      </c>
      <c r="I74" s="2"/>
      <c r="J74" s="6">
        <f t="shared" si="37"/>
        <v>1.4815396159689148E-3</v>
      </c>
      <c r="K74" s="2"/>
      <c r="L74" s="7">
        <f t="shared" si="38"/>
        <v>0</v>
      </c>
      <c r="M74" s="2"/>
      <c r="N74" s="6">
        <f t="shared" si="39"/>
        <v>0</v>
      </c>
      <c r="O74" s="11"/>
      <c r="P74" s="7">
        <v>5550</v>
      </c>
      <c r="Q74" s="2"/>
      <c r="R74" s="6">
        <f t="shared" si="40"/>
        <v>2.5995900001594885E-3</v>
      </c>
      <c r="S74" s="2"/>
      <c r="T74" s="7">
        <v>5550</v>
      </c>
      <c r="U74" s="2"/>
      <c r="V74" s="6">
        <f t="shared" si="41"/>
        <v>3.5027043401977924E-3</v>
      </c>
      <c r="W74" s="2"/>
      <c r="X74" s="7">
        <f t="shared" si="42"/>
        <v>0</v>
      </c>
      <c r="Y74" s="2"/>
      <c r="Z74" s="6">
        <f t="shared" si="43"/>
        <v>0</v>
      </c>
    </row>
    <row r="75" spans="1:26" s="28" customFormat="1" outlineLevel="1" collapsed="1" x14ac:dyDescent="0.25">
      <c r="A75" s="27"/>
      <c r="B75" s="14" t="str">
        <f>CONCATENATE("     ","Repair and Maintenance                            ")</f>
        <v xml:space="preserve">     Repair and Maintenance                            </v>
      </c>
      <c r="C75" s="14"/>
      <c r="D75" s="1">
        <f>SUM(OSRRefD22_14x_0)</f>
        <v>6973.89</v>
      </c>
      <c r="E75" s="1"/>
      <c r="F75" s="5">
        <f t="shared" si="36"/>
        <v>4.4797480941515559E-3</v>
      </c>
      <c r="G75" s="1"/>
      <c r="H75" s="1">
        <f>SUM(OSRRefH22_14x_0)</f>
        <v>9921</v>
      </c>
      <c r="I75" s="1"/>
      <c r="J75" s="5">
        <f t="shared" si="37"/>
        <v>7.9450565027176234E-3</v>
      </c>
      <c r="K75" s="1"/>
      <c r="L75" s="1">
        <f t="shared" si="38"/>
        <v>-2947.1099999999997</v>
      </c>
      <c r="M75" s="1"/>
      <c r="N75" s="5">
        <f t="shared" si="39"/>
        <v>-0.29705775627456904</v>
      </c>
      <c r="O75" s="14"/>
      <c r="P75" s="1">
        <f>SUM(OSRRefP22_14x_0)</f>
        <v>40270.44</v>
      </c>
      <c r="Q75" s="1"/>
      <c r="R75" s="5">
        <f t="shared" si="40"/>
        <v>1.8862456419103186E-2</v>
      </c>
      <c r="S75" s="1"/>
      <c r="T75" s="1">
        <f>SUM(OSRRefT22_14x_0)</f>
        <v>33825</v>
      </c>
      <c r="U75" s="1"/>
      <c r="V75" s="5">
        <f t="shared" si="41"/>
        <v>2.1347562938232492E-2</v>
      </c>
      <c r="W75" s="1"/>
      <c r="X75" s="1">
        <f t="shared" si="42"/>
        <v>6445.4400000000023</v>
      </c>
      <c r="Y75" s="1"/>
      <c r="Z75" s="5">
        <f t="shared" si="43"/>
        <v>0.19055254988913534</v>
      </c>
    </row>
    <row r="76" spans="1:26" s="24" customFormat="1" hidden="1" outlineLevel="2" x14ac:dyDescent="0.25">
      <c r="A76" s="29"/>
      <c r="B76" s="11" t="str">
        <f>CONCATENATE("          ", "6371", " - ", "COMPUTER SOFTWARE MAINTENANCE")</f>
        <v xml:space="preserve">          6371 - COMPUTER SOFTWARE MAINTENANCE</v>
      </c>
      <c r="C76" s="11"/>
      <c r="D76" s="7">
        <v>3500</v>
      </c>
      <c r="E76" s="2"/>
      <c r="F76" s="6">
        <f t="shared" si="36"/>
        <v>2.2482600570887189E-3</v>
      </c>
      <c r="G76" s="2"/>
      <c r="H76" s="7">
        <v>3500</v>
      </c>
      <c r="I76" s="2"/>
      <c r="J76" s="6">
        <f t="shared" si="37"/>
        <v>2.8029127869682174E-3</v>
      </c>
      <c r="K76" s="2"/>
      <c r="L76" s="7">
        <f t="shared" si="38"/>
        <v>0</v>
      </c>
      <c r="M76" s="2"/>
      <c r="N76" s="6">
        <f t="shared" si="39"/>
        <v>0</v>
      </c>
      <c r="O76" s="11"/>
      <c r="P76" s="7">
        <v>15677.72</v>
      </c>
      <c r="Q76" s="2"/>
      <c r="R76" s="6">
        <f t="shared" si="40"/>
        <v>7.3433593040180926E-3</v>
      </c>
      <c r="S76" s="2"/>
      <c r="T76" s="7">
        <v>10500</v>
      </c>
      <c r="U76" s="2"/>
      <c r="V76" s="6">
        <f t="shared" si="41"/>
        <v>6.6267379409147426E-3</v>
      </c>
      <c r="W76" s="2"/>
      <c r="X76" s="7">
        <f t="shared" si="42"/>
        <v>5177.7199999999993</v>
      </c>
      <c r="Y76" s="2"/>
      <c r="Z76" s="6">
        <f t="shared" si="43"/>
        <v>0.49311619047619043</v>
      </c>
    </row>
    <row r="77" spans="1:26" s="24" customFormat="1" hidden="1" outlineLevel="2" x14ac:dyDescent="0.25">
      <c r="A77" s="29"/>
      <c r="B77" s="11" t="str">
        <f>CONCATENATE("          ", "6373", " - ", "MAINTENANCE CONTRACTS")</f>
        <v xml:space="preserve">          6373 - MAINTENANCE CONTRACTS</v>
      </c>
      <c r="C77" s="11"/>
      <c r="D77" s="7">
        <v>1125.43</v>
      </c>
      <c r="E77" s="2"/>
      <c r="F77" s="6">
        <f t="shared" si="36"/>
        <v>7.2293123315695913E-4</v>
      </c>
      <c r="G77" s="2"/>
      <c r="H77" s="7">
        <v>3500</v>
      </c>
      <c r="I77" s="2"/>
      <c r="J77" s="6">
        <f t="shared" si="37"/>
        <v>2.8029127869682174E-3</v>
      </c>
      <c r="K77" s="2"/>
      <c r="L77" s="7">
        <f t="shared" si="38"/>
        <v>-2374.5699999999997</v>
      </c>
      <c r="M77" s="2"/>
      <c r="N77" s="6">
        <f t="shared" si="39"/>
        <v>-0.6784485714285714</v>
      </c>
      <c r="O77" s="11"/>
      <c r="P77" s="7">
        <v>1140.3</v>
      </c>
      <c r="Q77" s="2"/>
      <c r="R77" s="6">
        <f t="shared" si="40"/>
        <v>5.341103562489846E-4</v>
      </c>
      <c r="S77" s="2"/>
      <c r="T77" s="7">
        <v>6330</v>
      </c>
      <c r="U77" s="2"/>
      <c r="V77" s="6">
        <f t="shared" si="41"/>
        <v>3.9949763015228873E-3</v>
      </c>
      <c r="W77" s="2"/>
      <c r="X77" s="7">
        <f t="shared" si="42"/>
        <v>-5189.7</v>
      </c>
      <c r="Y77" s="2"/>
      <c r="Z77" s="6">
        <f t="shared" si="43"/>
        <v>-0.81985781990521323</v>
      </c>
    </row>
    <row r="78" spans="1:26" s="24" customFormat="1" hidden="1" outlineLevel="2" x14ac:dyDescent="0.25">
      <c r="A78" s="29"/>
      <c r="B78" s="11" t="str">
        <f>CONCATENATE("          ", "6375", " - ", "OUTSIDE REPAIRS &amp; MAINTENANCE")</f>
        <v xml:space="preserve">          6375 - OUTSIDE REPAIRS &amp; MAINTENANCE</v>
      </c>
      <c r="C78" s="11"/>
      <c r="D78" s="7">
        <v>2348.46</v>
      </c>
      <c r="E78" s="2"/>
      <c r="F78" s="6">
        <f t="shared" si="36"/>
        <v>1.5085568039058779E-3</v>
      </c>
      <c r="G78" s="2"/>
      <c r="H78" s="7">
        <v>2921</v>
      </c>
      <c r="I78" s="2"/>
      <c r="J78" s="6">
        <f t="shared" si="37"/>
        <v>2.3392309287811894E-3</v>
      </c>
      <c r="K78" s="2"/>
      <c r="L78" s="7">
        <f t="shared" si="38"/>
        <v>-572.54</v>
      </c>
      <c r="M78" s="2"/>
      <c r="N78" s="6">
        <f t="shared" si="39"/>
        <v>-0.1960082163642588</v>
      </c>
      <c r="O78" s="11"/>
      <c r="P78" s="7">
        <v>23452.42</v>
      </c>
      <c r="Q78" s="2"/>
      <c r="R78" s="6">
        <f t="shared" si="40"/>
        <v>1.0984986758836105E-2</v>
      </c>
      <c r="S78" s="2"/>
      <c r="T78" s="7">
        <v>16995</v>
      </c>
      <c r="U78" s="2"/>
      <c r="V78" s="6">
        <f t="shared" si="41"/>
        <v>1.0725848695794861E-2</v>
      </c>
      <c r="W78" s="2"/>
      <c r="X78" s="7">
        <f t="shared" si="42"/>
        <v>6457.4199999999983</v>
      </c>
      <c r="Y78" s="2"/>
      <c r="Z78" s="6">
        <f t="shared" si="43"/>
        <v>0.3799599882318328</v>
      </c>
    </row>
    <row r="79" spans="1:26" s="28" customFormat="1" outlineLevel="1" collapsed="1" x14ac:dyDescent="0.25">
      <c r="A79" s="27"/>
      <c r="B79" s="14" t="str">
        <f>CONCATENATE("     ","Services                                          ")</f>
        <v xml:space="preserve">     Services                                          </v>
      </c>
      <c r="C79" s="14"/>
      <c r="D79" s="1">
        <f>SUM(OSRRefD22_15x_0)</f>
        <v>21490.87</v>
      </c>
      <c r="E79" s="1"/>
      <c r="F79" s="5">
        <f t="shared" ref="F79:F84" si="44">IF(D$12=0,0,D79/D$12)</f>
        <v>1.3804875603738923E-2</v>
      </c>
      <c r="G79" s="1"/>
      <c r="H79" s="1">
        <f>SUM(OSRRefH22_15x_0)</f>
        <v>32277</v>
      </c>
      <c r="I79" s="1"/>
      <c r="J79" s="5">
        <f t="shared" ref="J79:J84" si="45">IF(H$12=0,0,H79/H$12)</f>
        <v>2.5848461721420902E-2</v>
      </c>
      <c r="K79" s="1"/>
      <c r="L79" s="1">
        <f t="shared" ref="L79:L84" si="46">+D79-H79</f>
        <v>-10786.130000000001</v>
      </c>
      <c r="M79" s="1"/>
      <c r="N79" s="5">
        <f t="shared" ref="N79:N84" si="47">IF(H79=0,0,L79/H79)</f>
        <v>-0.33417386993834625</v>
      </c>
      <c r="O79" s="14"/>
      <c r="P79" s="1">
        <f>SUM(OSRRefP22_15x_0)</f>
        <v>68977.11</v>
      </c>
      <c r="Q79" s="1"/>
      <c r="R79" s="5">
        <f t="shared" ref="R79:R84" si="48">IF(P$12=0,0,P79/P$12)</f>
        <v>3.2308505476738927E-2</v>
      </c>
      <c r="S79" s="1"/>
      <c r="T79" s="1">
        <f>SUM(OSRRefT22_15x_0)</f>
        <v>90215</v>
      </c>
      <c r="U79" s="1"/>
      <c r="V79" s="5">
        <f t="shared" ref="V79:V84" si="49">IF(T$12=0,0,T79/T$12)</f>
        <v>5.6936301270440332E-2</v>
      </c>
      <c r="W79" s="1"/>
      <c r="X79" s="1">
        <f t="shared" ref="X79:X84" si="50">+P79-T79</f>
        <v>-21237.89</v>
      </c>
      <c r="Y79" s="1"/>
      <c r="Z79" s="5">
        <f t="shared" ref="Z79:Z84" si="51">IF(T79=0,0,X79/T79)</f>
        <v>-0.23541417724325223</v>
      </c>
    </row>
    <row r="80" spans="1:26" s="24" customFormat="1" hidden="1" outlineLevel="2" x14ac:dyDescent="0.25">
      <c r="A80" s="29"/>
      <c r="B80" s="11" t="str">
        <f>CONCATENATE("          ", "6282", " - ", "JANITORIAL/EXTERMINATOR EXPENS")</f>
        <v xml:space="preserve">          6282 - JANITORIAL/EXTERMINATOR EXPENS</v>
      </c>
      <c r="C80" s="11"/>
      <c r="D80" s="7">
        <v>3358.12</v>
      </c>
      <c r="E80" s="2"/>
      <c r="F80" s="6">
        <f t="shared" si="44"/>
        <v>2.1571220179745052E-3</v>
      </c>
      <c r="G80" s="2"/>
      <c r="H80" s="7">
        <v>2698</v>
      </c>
      <c r="I80" s="2"/>
      <c r="J80" s="6">
        <f t="shared" si="45"/>
        <v>2.1606453426400714E-3</v>
      </c>
      <c r="K80" s="2"/>
      <c r="L80" s="7">
        <f t="shared" si="46"/>
        <v>660.11999999999989</v>
      </c>
      <c r="M80" s="2"/>
      <c r="N80" s="6">
        <f t="shared" si="47"/>
        <v>0.24467012601927349</v>
      </c>
      <c r="O80" s="11"/>
      <c r="P80" s="7">
        <v>6979.71</v>
      </c>
      <c r="Q80" s="2"/>
      <c r="R80" s="6">
        <f t="shared" si="48"/>
        <v>3.2692584360384117E-3</v>
      </c>
      <c r="S80" s="2"/>
      <c r="T80" s="7">
        <v>7994</v>
      </c>
      <c r="U80" s="2"/>
      <c r="V80" s="6">
        <f t="shared" si="49"/>
        <v>5.0451564856830904E-3</v>
      </c>
      <c r="W80" s="2"/>
      <c r="X80" s="7">
        <f t="shared" si="50"/>
        <v>-1014.29</v>
      </c>
      <c r="Y80" s="2"/>
      <c r="Z80" s="6">
        <f t="shared" si="51"/>
        <v>-0.1268814110582937</v>
      </c>
    </row>
    <row r="81" spans="1:26" s="24" customFormat="1" hidden="1" outlineLevel="2" x14ac:dyDescent="0.25">
      <c r="A81" s="29"/>
      <c r="B81" s="11" t="str">
        <f>CONCATENATE("          ", "6283", " - ", "PLANT SERVICE")</f>
        <v xml:space="preserve">          6283 - PLANT SERVICE</v>
      </c>
      <c r="C81" s="11"/>
      <c r="D81" s="7"/>
      <c r="E81" s="2"/>
      <c r="F81" s="6">
        <f t="shared" si="44"/>
        <v>0</v>
      </c>
      <c r="G81" s="2"/>
      <c r="H81" s="7">
        <v>100</v>
      </c>
      <c r="I81" s="2"/>
      <c r="J81" s="6">
        <f t="shared" si="45"/>
        <v>8.0083222484806212E-5</v>
      </c>
      <c r="K81" s="2"/>
      <c r="L81" s="7">
        <f t="shared" si="46"/>
        <v>-100</v>
      </c>
      <c r="M81" s="2"/>
      <c r="N81" s="6">
        <f t="shared" si="47"/>
        <v>-1</v>
      </c>
      <c r="O81" s="11"/>
      <c r="P81" s="7"/>
      <c r="Q81" s="2"/>
      <c r="R81" s="6">
        <f t="shared" si="48"/>
        <v>0</v>
      </c>
      <c r="S81" s="2"/>
      <c r="T81" s="7">
        <v>300</v>
      </c>
      <c r="U81" s="2"/>
      <c r="V81" s="6">
        <f t="shared" si="49"/>
        <v>1.893353697404212E-4</v>
      </c>
      <c r="W81" s="2"/>
      <c r="X81" s="7">
        <f t="shared" si="50"/>
        <v>-300</v>
      </c>
      <c r="Y81" s="2"/>
      <c r="Z81" s="6">
        <f t="shared" si="51"/>
        <v>-1</v>
      </c>
    </row>
    <row r="82" spans="1:26" s="24" customFormat="1" hidden="1" outlineLevel="2" x14ac:dyDescent="0.25">
      <c r="A82" s="29"/>
      <c r="B82" s="11" t="str">
        <f>CONCATENATE("          ", "6284", " - ", "TRASH REMOVAL EXPENSE")</f>
        <v xml:space="preserve">          6284 - TRASH REMOVAL EXPENSE</v>
      </c>
      <c r="C82" s="11"/>
      <c r="D82" s="7"/>
      <c r="E82" s="2"/>
      <c r="F82" s="6">
        <f t="shared" si="44"/>
        <v>0</v>
      </c>
      <c r="G82" s="2"/>
      <c r="H82" s="7">
        <v>1600</v>
      </c>
      <c r="I82" s="2"/>
      <c r="J82" s="6">
        <f t="shared" si="45"/>
        <v>1.2813315597568994E-3</v>
      </c>
      <c r="K82" s="2"/>
      <c r="L82" s="7">
        <f t="shared" si="46"/>
        <v>-1600</v>
      </c>
      <c r="M82" s="2"/>
      <c r="N82" s="6">
        <f t="shared" si="47"/>
        <v>-1</v>
      </c>
      <c r="O82" s="11"/>
      <c r="P82" s="7"/>
      <c r="Q82" s="2"/>
      <c r="R82" s="6">
        <f t="shared" si="48"/>
        <v>0</v>
      </c>
      <c r="S82" s="2"/>
      <c r="T82" s="7">
        <v>4800</v>
      </c>
      <c r="U82" s="2"/>
      <c r="V82" s="6">
        <f t="shared" si="49"/>
        <v>3.0293659158467392E-3</v>
      </c>
      <c r="W82" s="2"/>
      <c r="X82" s="7">
        <f t="shared" si="50"/>
        <v>-4800</v>
      </c>
      <c r="Y82" s="2"/>
      <c r="Z82" s="6">
        <f t="shared" si="51"/>
        <v>-1</v>
      </c>
    </row>
    <row r="83" spans="1:26" s="24" customFormat="1" hidden="1" outlineLevel="2" x14ac:dyDescent="0.25">
      <c r="A83" s="29"/>
      <c r="B83" s="11" t="str">
        <f>CONCATENATE("          ", "6285", " - ", "JANITORIAL SERVICES")</f>
        <v xml:space="preserve">          6285 - JANITORIAL SERVICES</v>
      </c>
      <c r="C83" s="11"/>
      <c r="D83" s="7">
        <v>16755.18</v>
      </c>
      <c r="E83" s="2"/>
      <c r="F83" s="6">
        <f t="shared" si="44"/>
        <v>1.0762857698094789E-2</v>
      </c>
      <c r="G83" s="2"/>
      <c r="H83" s="7">
        <v>22559</v>
      </c>
      <c r="I83" s="2"/>
      <c r="J83" s="6">
        <f t="shared" si="45"/>
        <v>1.8065974160347432E-2</v>
      </c>
      <c r="K83" s="2"/>
      <c r="L83" s="7">
        <f t="shared" si="46"/>
        <v>-5803.82</v>
      </c>
      <c r="M83" s="2"/>
      <c r="N83" s="6">
        <f t="shared" si="47"/>
        <v>-0.25727292876457286</v>
      </c>
      <c r="O83" s="11"/>
      <c r="P83" s="7">
        <v>57034.23</v>
      </c>
      <c r="Q83" s="2"/>
      <c r="R83" s="6">
        <f t="shared" si="48"/>
        <v>2.6714525040503839E-2</v>
      </c>
      <c r="S83" s="2"/>
      <c r="T83" s="7">
        <v>62494</v>
      </c>
      <c r="U83" s="2"/>
      <c r="V83" s="6">
        <f t="shared" si="49"/>
        <v>3.9441081988526278E-2</v>
      </c>
      <c r="W83" s="2"/>
      <c r="X83" s="7">
        <f t="shared" si="50"/>
        <v>-5459.7699999999968</v>
      </c>
      <c r="Y83" s="2"/>
      <c r="Z83" s="6">
        <f t="shared" si="51"/>
        <v>-8.7364707011873086E-2</v>
      </c>
    </row>
    <row r="84" spans="1:26" s="24" customFormat="1" hidden="1" outlineLevel="2" x14ac:dyDescent="0.25">
      <c r="A84" s="29"/>
      <c r="B84" s="11" t="str">
        <f>CONCATENATE("          ", "6286", " - ", "LAUNDRY EXPENSE")</f>
        <v xml:space="preserve">          6286 - LAUNDRY EXPENSE</v>
      </c>
      <c r="C84" s="11"/>
      <c r="D84" s="7">
        <v>1377.57</v>
      </c>
      <c r="E84" s="2"/>
      <c r="F84" s="6">
        <f t="shared" si="44"/>
        <v>8.8489588766963031E-4</v>
      </c>
      <c r="G84" s="2"/>
      <c r="H84" s="7">
        <v>5320</v>
      </c>
      <c r="I84" s="2"/>
      <c r="J84" s="6">
        <f t="shared" si="45"/>
        <v>4.2604274361916902E-3</v>
      </c>
      <c r="K84" s="2"/>
      <c r="L84" s="7">
        <f t="shared" si="46"/>
        <v>-3942.4300000000003</v>
      </c>
      <c r="M84" s="2"/>
      <c r="N84" s="6">
        <f t="shared" si="47"/>
        <v>-0.74105827067669183</v>
      </c>
      <c r="O84" s="11"/>
      <c r="P84" s="7">
        <v>4963.17</v>
      </c>
      <c r="Q84" s="2"/>
      <c r="R84" s="6">
        <f t="shared" si="48"/>
        <v>2.324722000196679E-3</v>
      </c>
      <c r="S84" s="2"/>
      <c r="T84" s="7">
        <v>14627</v>
      </c>
      <c r="U84" s="2"/>
      <c r="V84" s="6">
        <f t="shared" si="49"/>
        <v>9.2313615106438037E-3</v>
      </c>
      <c r="W84" s="2"/>
      <c r="X84" s="7">
        <f t="shared" si="50"/>
        <v>-9663.83</v>
      </c>
      <c r="Y84" s="2"/>
      <c r="Z84" s="6">
        <f t="shared" si="51"/>
        <v>-0.66068435085800237</v>
      </c>
    </row>
    <row r="85" spans="1:26" s="28" customFormat="1" outlineLevel="1" collapsed="1" x14ac:dyDescent="0.25">
      <c r="A85" s="27"/>
      <c r="B85" s="14" t="str">
        <f>CONCATENATE("     ","Subscriptions &amp; Dues                              ")</f>
        <v xml:space="preserve">     Subscriptions &amp; Dues                              </v>
      </c>
      <c r="C85" s="14"/>
      <c r="D85" s="1">
        <f>SUM(OSRRefD22_16x_0)</f>
        <v>408.93</v>
      </c>
      <c r="E85" s="1"/>
      <c r="F85" s="5">
        <f t="shared" ref="F85:F97" si="52">IF(D$12=0,0,D85/D$12)</f>
        <v>2.6268028147008281E-4</v>
      </c>
      <c r="G85" s="1"/>
      <c r="H85" s="1">
        <f>SUM(OSRRefH22_16x_0)</f>
        <v>610</v>
      </c>
      <c r="I85" s="1"/>
      <c r="J85" s="5">
        <f t="shared" ref="J85:J97" si="53">IF(H$12=0,0,H85/H$12)</f>
        <v>4.8850765715731793E-4</v>
      </c>
      <c r="K85" s="1"/>
      <c r="L85" s="1">
        <f t="shared" ref="L85:L97" si="54">+D85-H85</f>
        <v>-201.07</v>
      </c>
      <c r="M85" s="1"/>
      <c r="N85" s="5">
        <f t="shared" ref="N85:N97" si="55">IF(H85=0,0,L85/H85)</f>
        <v>-0.32962295081967213</v>
      </c>
      <c r="O85" s="14"/>
      <c r="P85" s="1">
        <f>SUM(OSRRefP22_16x_0)</f>
        <v>1133.19</v>
      </c>
      <c r="Q85" s="1"/>
      <c r="R85" s="5">
        <f t="shared" ref="R85:R97" si="56">IF(P$12=0,0,P85/P$12)</f>
        <v>5.3078007068121285E-4</v>
      </c>
      <c r="S85" s="1"/>
      <c r="T85" s="1">
        <f>SUM(OSRRefT22_16x_0)</f>
        <v>1600</v>
      </c>
      <c r="U85" s="1"/>
      <c r="V85" s="5">
        <f t="shared" ref="V85:V97" si="57">IF(T$12=0,0,T85/T$12)</f>
        <v>1.0097886386155799E-3</v>
      </c>
      <c r="W85" s="1"/>
      <c r="X85" s="1">
        <f t="shared" ref="X85:X97" si="58">+P85-T85</f>
        <v>-466.80999999999995</v>
      </c>
      <c r="Y85" s="1"/>
      <c r="Z85" s="5">
        <f t="shared" ref="Z85:Z97" si="59">IF(T85=0,0,X85/T85)</f>
        <v>-0.29175624999999994</v>
      </c>
    </row>
    <row r="86" spans="1:26" s="24" customFormat="1" hidden="1" outlineLevel="2" x14ac:dyDescent="0.25">
      <c r="A86" s="29"/>
      <c r="B86" s="11" t="str">
        <f>CONCATENATE("          ", "6275", " - ", "SUBSCRIPTIONS")</f>
        <v xml:space="preserve">          6275 - SUBSCRIPTIONS</v>
      </c>
      <c r="C86" s="11"/>
      <c r="D86" s="7">
        <v>408.93</v>
      </c>
      <c r="E86" s="2"/>
      <c r="F86" s="6">
        <f t="shared" si="52"/>
        <v>2.6268028147008281E-4</v>
      </c>
      <c r="G86" s="2"/>
      <c r="H86" s="7">
        <v>610</v>
      </c>
      <c r="I86" s="2"/>
      <c r="J86" s="6">
        <f t="shared" si="53"/>
        <v>4.8850765715731793E-4</v>
      </c>
      <c r="K86" s="2"/>
      <c r="L86" s="7">
        <f t="shared" si="54"/>
        <v>-201.07</v>
      </c>
      <c r="M86" s="2"/>
      <c r="N86" s="6">
        <f t="shared" si="55"/>
        <v>-0.32962295081967213</v>
      </c>
      <c r="O86" s="11"/>
      <c r="P86" s="7">
        <v>1133.19</v>
      </c>
      <c r="Q86" s="2"/>
      <c r="R86" s="6">
        <f t="shared" si="56"/>
        <v>5.3078007068121285E-4</v>
      </c>
      <c r="S86" s="2"/>
      <c r="T86" s="7">
        <v>1600</v>
      </c>
      <c r="U86" s="2"/>
      <c r="V86" s="6">
        <f t="shared" si="57"/>
        <v>1.0097886386155799E-3</v>
      </c>
      <c r="W86" s="2"/>
      <c r="X86" s="7">
        <f t="shared" si="58"/>
        <v>-466.80999999999995</v>
      </c>
      <c r="Y86" s="2"/>
      <c r="Z86" s="6">
        <f t="shared" si="59"/>
        <v>-0.29175624999999994</v>
      </c>
    </row>
    <row r="87" spans="1:26" s="28" customFormat="1" outlineLevel="1" collapsed="1" x14ac:dyDescent="0.25">
      <c r="A87" s="27"/>
      <c r="B87" s="14" t="str">
        <f>CONCATENATE("     ","Supplies                                          ")</f>
        <v xml:space="preserve">     Supplies                                          </v>
      </c>
      <c r="C87" s="14"/>
      <c r="D87" s="1">
        <f>SUM(OSRRefD22_17x_0)</f>
        <v>51611.32</v>
      </c>
      <c r="E87" s="1"/>
      <c r="F87" s="5">
        <f t="shared" si="52"/>
        <v>3.3153048357035468E-2</v>
      </c>
      <c r="G87" s="1"/>
      <c r="H87" s="1">
        <f>SUM(OSRRefH22_17x_0)</f>
        <v>32505</v>
      </c>
      <c r="I87" s="1"/>
      <c r="J87" s="5">
        <f t="shared" si="53"/>
        <v>2.6031051468686259E-2</v>
      </c>
      <c r="K87" s="1"/>
      <c r="L87" s="1">
        <f t="shared" si="54"/>
        <v>19106.32</v>
      </c>
      <c r="M87" s="1"/>
      <c r="N87" s="5">
        <f t="shared" si="55"/>
        <v>0.58779633902476536</v>
      </c>
      <c r="O87" s="14"/>
      <c r="P87" s="1">
        <f>SUM(OSRRefP22_17x_0)</f>
        <v>84583.15</v>
      </c>
      <c r="Q87" s="1"/>
      <c r="R87" s="5">
        <f t="shared" si="56"/>
        <v>3.9618290256214418E-2</v>
      </c>
      <c r="S87" s="1"/>
      <c r="T87" s="1">
        <f>SUM(OSRRefT22_17x_0)</f>
        <v>113723</v>
      </c>
      <c r="U87" s="1"/>
      <c r="V87" s="5">
        <f t="shared" si="57"/>
        <v>7.1772620843299731E-2</v>
      </c>
      <c r="W87" s="1"/>
      <c r="X87" s="1">
        <f t="shared" si="58"/>
        <v>-29139.850000000006</v>
      </c>
      <c r="Y87" s="1"/>
      <c r="Z87" s="5">
        <f t="shared" si="59"/>
        <v>-0.25623532618731482</v>
      </c>
    </row>
    <row r="88" spans="1:26" s="24" customFormat="1" hidden="1" outlineLevel="2" x14ac:dyDescent="0.25">
      <c r="A88" s="29"/>
      <c r="B88" s="11" t="str">
        <f>CONCATENATE("          ", "6234", " - ", "EXPENDABLE SUPPLIES &amp; EQUIPMEN")</f>
        <v xml:space="preserve">          6234 - EXPENDABLE SUPPLIES &amp; EQUIPMEN</v>
      </c>
      <c r="C88" s="11"/>
      <c r="D88" s="7">
        <v>21.98</v>
      </c>
      <c r="E88" s="2"/>
      <c r="F88" s="6">
        <f t="shared" si="52"/>
        <v>1.4119073158517154E-5</v>
      </c>
      <c r="G88" s="2"/>
      <c r="H88" s="7">
        <v>342</v>
      </c>
      <c r="I88" s="2"/>
      <c r="J88" s="6">
        <f t="shared" si="53"/>
        <v>2.7388462089803726E-4</v>
      </c>
      <c r="K88" s="2"/>
      <c r="L88" s="7">
        <f t="shared" si="54"/>
        <v>-320.02</v>
      </c>
      <c r="M88" s="2"/>
      <c r="N88" s="6">
        <f t="shared" si="55"/>
        <v>-0.93573099415204675</v>
      </c>
      <c r="O88" s="11"/>
      <c r="P88" s="7">
        <v>21.98</v>
      </c>
      <c r="Q88" s="2"/>
      <c r="R88" s="6">
        <f t="shared" si="56"/>
        <v>1.0295313189820822E-5</v>
      </c>
      <c r="S88" s="2"/>
      <c r="T88" s="7">
        <v>1026</v>
      </c>
      <c r="U88" s="2"/>
      <c r="V88" s="6">
        <f t="shared" si="57"/>
        <v>6.4752696451224052E-4</v>
      </c>
      <c r="W88" s="2"/>
      <c r="X88" s="7">
        <f t="shared" si="58"/>
        <v>-1004.02</v>
      </c>
      <c r="Y88" s="2"/>
      <c r="Z88" s="6">
        <f t="shared" si="59"/>
        <v>-0.97857699805068221</v>
      </c>
    </row>
    <row r="89" spans="1:26" s="24" customFormat="1" hidden="1" outlineLevel="2" x14ac:dyDescent="0.25">
      <c r="A89" s="29"/>
      <c r="B89" s="11" t="str">
        <f>CONCATENATE("          ", "6235", " - ", "COVID-19 EXPENSES")</f>
        <v xml:space="preserve">          6235 - COVID-19 EXPENSES</v>
      </c>
      <c r="C89" s="11"/>
      <c r="D89" s="7">
        <v>193.5</v>
      </c>
      <c r="E89" s="2"/>
      <c r="F89" s="6">
        <f t="shared" si="52"/>
        <v>1.2429666315619061E-4</v>
      </c>
      <c r="G89" s="2"/>
      <c r="H89" s="7">
        <v>250</v>
      </c>
      <c r="I89" s="2"/>
      <c r="J89" s="6">
        <f t="shared" si="53"/>
        <v>2.0020805621201552E-4</v>
      </c>
      <c r="K89" s="2"/>
      <c r="L89" s="7">
        <f t="shared" si="54"/>
        <v>-56.5</v>
      </c>
      <c r="M89" s="2"/>
      <c r="N89" s="6">
        <f t="shared" si="55"/>
        <v>-0.22600000000000001</v>
      </c>
      <c r="O89" s="11"/>
      <c r="P89" s="7">
        <v>193.5</v>
      </c>
      <c r="Q89" s="2"/>
      <c r="R89" s="6">
        <f t="shared" si="56"/>
        <v>9.0634354059614607E-5</v>
      </c>
      <c r="S89" s="2"/>
      <c r="T89" s="7">
        <v>1000</v>
      </c>
      <c r="U89" s="2"/>
      <c r="V89" s="6">
        <f t="shared" si="57"/>
        <v>6.3111789913473731E-4</v>
      </c>
      <c r="W89" s="2"/>
      <c r="X89" s="7">
        <f t="shared" si="58"/>
        <v>-806.5</v>
      </c>
      <c r="Y89" s="2"/>
      <c r="Z89" s="6">
        <f t="shared" si="59"/>
        <v>-0.80649999999999999</v>
      </c>
    </row>
    <row r="90" spans="1:26" s="24" customFormat="1" hidden="1" outlineLevel="2" x14ac:dyDescent="0.25">
      <c r="A90" s="29"/>
      <c r="B90" s="11" t="str">
        <f>CONCATENATE("          ", "6237", " - ", "JANITORIAL SUPPLIES")</f>
        <v xml:space="preserve">          6237 - JANITORIAL SUPPLIES</v>
      </c>
      <c r="C90" s="11"/>
      <c r="D90" s="7">
        <v>13499.58</v>
      </c>
      <c r="E90" s="2"/>
      <c r="F90" s="6">
        <f t="shared" si="52"/>
        <v>8.6715904289924924E-3</v>
      </c>
      <c r="G90" s="2"/>
      <c r="H90" s="7">
        <v>10336</v>
      </c>
      <c r="I90" s="2"/>
      <c r="J90" s="6">
        <f t="shared" si="53"/>
        <v>8.2774018760295703E-3</v>
      </c>
      <c r="K90" s="2"/>
      <c r="L90" s="7">
        <f t="shared" si="54"/>
        <v>3163.58</v>
      </c>
      <c r="M90" s="2"/>
      <c r="N90" s="6">
        <f t="shared" si="55"/>
        <v>0.30607391640866871</v>
      </c>
      <c r="O90" s="11"/>
      <c r="P90" s="7">
        <v>21679.07</v>
      </c>
      <c r="Q90" s="2"/>
      <c r="R90" s="6">
        <f t="shared" si="56"/>
        <v>1.0154359204460821E-2</v>
      </c>
      <c r="S90" s="2"/>
      <c r="T90" s="7">
        <v>34403</v>
      </c>
      <c r="U90" s="2"/>
      <c r="V90" s="6">
        <f t="shared" si="57"/>
        <v>2.171234908393237E-2</v>
      </c>
      <c r="W90" s="2"/>
      <c r="X90" s="7">
        <f t="shared" si="58"/>
        <v>-12723.93</v>
      </c>
      <c r="Y90" s="2"/>
      <c r="Z90" s="6">
        <f t="shared" si="59"/>
        <v>-0.36984943173560447</v>
      </c>
    </row>
    <row r="91" spans="1:26" s="24" customFormat="1" hidden="1" outlineLevel="2" x14ac:dyDescent="0.25">
      <c r="A91" s="29"/>
      <c r="B91" s="11" t="str">
        <f>CONCATENATE("          ", "6239", " - ", "KITCHEN SUPPLIES")</f>
        <v xml:space="preserve">          6239 - KITCHEN SUPPLIES</v>
      </c>
      <c r="C91" s="11"/>
      <c r="D91" s="7">
        <v>11018.05</v>
      </c>
      <c r="E91" s="2"/>
      <c r="F91" s="6">
        <f t="shared" si="52"/>
        <v>7.0775547777161022E-3</v>
      </c>
      <c r="G91" s="2"/>
      <c r="H91" s="7">
        <v>4313</v>
      </c>
      <c r="I91" s="2"/>
      <c r="J91" s="6">
        <f t="shared" si="53"/>
        <v>3.453989385769692E-3</v>
      </c>
      <c r="K91" s="2"/>
      <c r="L91" s="7">
        <f t="shared" si="54"/>
        <v>6705.0499999999993</v>
      </c>
      <c r="M91" s="2"/>
      <c r="N91" s="6">
        <f t="shared" si="55"/>
        <v>1.5546139578019937</v>
      </c>
      <c r="O91" s="11"/>
      <c r="P91" s="7">
        <v>14119.88</v>
      </c>
      <c r="Q91" s="2"/>
      <c r="R91" s="6">
        <f t="shared" si="56"/>
        <v>6.6136754687300828E-3</v>
      </c>
      <c r="S91" s="2"/>
      <c r="T91" s="7">
        <v>22149</v>
      </c>
      <c r="U91" s="2"/>
      <c r="V91" s="6">
        <f t="shared" si="57"/>
        <v>1.3978630347935297E-2</v>
      </c>
      <c r="W91" s="2"/>
      <c r="X91" s="7">
        <f t="shared" si="58"/>
        <v>-8029.1200000000008</v>
      </c>
      <c r="Y91" s="2"/>
      <c r="Z91" s="6">
        <f t="shared" si="59"/>
        <v>-0.36250485349225703</v>
      </c>
    </row>
    <row r="92" spans="1:26" s="24" customFormat="1" hidden="1" outlineLevel="2" x14ac:dyDescent="0.25">
      <c r="A92" s="29"/>
      <c r="B92" s="11" t="str">
        <f>CONCATENATE("          ", "6241", " - ", "OFFICE EXPENSE")</f>
        <v xml:space="preserve">          6241 - OFFICE EXPENSE</v>
      </c>
      <c r="C92" s="11"/>
      <c r="D92" s="7">
        <v>2804.71</v>
      </c>
      <c r="E92" s="2"/>
      <c r="F92" s="6">
        <f t="shared" si="52"/>
        <v>1.8016335613478002E-3</v>
      </c>
      <c r="G92" s="2"/>
      <c r="H92" s="7">
        <v>1728</v>
      </c>
      <c r="I92" s="2"/>
      <c r="J92" s="6">
        <f t="shared" si="53"/>
        <v>1.3838380845374513E-3</v>
      </c>
      <c r="K92" s="2"/>
      <c r="L92" s="7">
        <f t="shared" si="54"/>
        <v>1076.71</v>
      </c>
      <c r="M92" s="2"/>
      <c r="N92" s="6">
        <f t="shared" si="55"/>
        <v>0.62309606481481483</v>
      </c>
      <c r="O92" s="11"/>
      <c r="P92" s="7">
        <v>8396.23</v>
      </c>
      <c r="Q92" s="2"/>
      <c r="R92" s="6">
        <f t="shared" si="56"/>
        <v>3.9327487472142529E-3</v>
      </c>
      <c r="S92" s="2"/>
      <c r="T92" s="7">
        <v>7212</v>
      </c>
      <c r="U92" s="2"/>
      <c r="V92" s="6">
        <f t="shared" si="57"/>
        <v>4.5516222885597256E-3</v>
      </c>
      <c r="W92" s="2"/>
      <c r="X92" s="7">
        <f t="shared" si="58"/>
        <v>1184.2299999999996</v>
      </c>
      <c r="Y92" s="2"/>
      <c r="Z92" s="6">
        <f t="shared" si="59"/>
        <v>0.16420271769273428</v>
      </c>
    </row>
    <row r="93" spans="1:26" s="24" customFormat="1" hidden="1" outlineLevel="2" x14ac:dyDescent="0.25">
      <c r="A93" s="29"/>
      <c r="B93" s="11" t="str">
        <f>CONCATENATE("          ", "6243", " - ", "PAPER SUPPLIES")</f>
        <v xml:space="preserve">          6243 - PAPER SUPPLIES</v>
      </c>
      <c r="C93" s="11"/>
      <c r="D93" s="7">
        <v>23477.5</v>
      </c>
      <c r="E93" s="2"/>
      <c r="F93" s="6">
        <f t="shared" si="52"/>
        <v>1.508100728294297E-2</v>
      </c>
      <c r="G93" s="2"/>
      <c r="H93" s="7">
        <v>14323</v>
      </c>
      <c r="I93" s="2"/>
      <c r="J93" s="6">
        <f t="shared" si="53"/>
        <v>1.1470319956498793E-2</v>
      </c>
      <c r="K93" s="2"/>
      <c r="L93" s="7">
        <f t="shared" si="54"/>
        <v>9154.5</v>
      </c>
      <c r="M93" s="2"/>
      <c r="N93" s="6">
        <f t="shared" si="55"/>
        <v>0.63914682678209878</v>
      </c>
      <c r="O93" s="11"/>
      <c r="P93" s="7">
        <v>39376.49</v>
      </c>
      <c r="Q93" s="2"/>
      <c r="R93" s="6">
        <f t="shared" si="56"/>
        <v>1.8443735071239656E-2</v>
      </c>
      <c r="S93" s="2"/>
      <c r="T93" s="7">
        <v>40733</v>
      </c>
      <c r="U93" s="2"/>
      <c r="V93" s="6">
        <f t="shared" si="57"/>
        <v>2.5707325385455258E-2</v>
      </c>
      <c r="W93" s="2"/>
      <c r="X93" s="7">
        <f t="shared" si="58"/>
        <v>-1356.510000000002</v>
      </c>
      <c r="Y93" s="2"/>
      <c r="Z93" s="6">
        <f t="shared" si="59"/>
        <v>-3.3302482017037831E-2</v>
      </c>
    </row>
    <row r="94" spans="1:26" s="24" customFormat="1" hidden="1" outlineLevel="2" x14ac:dyDescent="0.25">
      <c r="A94" s="29"/>
      <c r="B94" s="11" t="str">
        <f>CONCATENATE("          ", "6244", " - ", "SAFETY SUPPLY EXPENSE")</f>
        <v xml:space="preserve">          6244 - SAFETY SUPPLY EXPENSE</v>
      </c>
      <c r="C94" s="11"/>
      <c r="D94" s="7"/>
      <c r="E94" s="2"/>
      <c r="F94" s="6">
        <f t="shared" si="52"/>
        <v>0</v>
      </c>
      <c r="G94" s="2"/>
      <c r="H94" s="7">
        <v>525</v>
      </c>
      <c r="I94" s="2"/>
      <c r="J94" s="6">
        <f t="shared" si="53"/>
        <v>4.2043691804523261E-4</v>
      </c>
      <c r="K94" s="2"/>
      <c r="L94" s="7">
        <f t="shared" si="54"/>
        <v>-525</v>
      </c>
      <c r="M94" s="2"/>
      <c r="N94" s="6">
        <f t="shared" si="55"/>
        <v>-1</v>
      </c>
      <c r="O94" s="11"/>
      <c r="P94" s="7"/>
      <c r="Q94" s="2"/>
      <c r="R94" s="6">
        <f t="shared" si="56"/>
        <v>0</v>
      </c>
      <c r="S94" s="2"/>
      <c r="T94" s="7">
        <v>1625</v>
      </c>
      <c r="U94" s="2"/>
      <c r="V94" s="6">
        <f t="shared" si="57"/>
        <v>1.0255665860939482E-3</v>
      </c>
      <c r="W94" s="2"/>
      <c r="X94" s="7">
        <f t="shared" si="58"/>
        <v>-1625</v>
      </c>
      <c r="Y94" s="2"/>
      <c r="Z94" s="6">
        <f t="shared" si="59"/>
        <v>-1</v>
      </c>
    </row>
    <row r="95" spans="1:26" s="24" customFormat="1" hidden="1" outlineLevel="2" x14ac:dyDescent="0.25">
      <c r="A95" s="29"/>
      <c r="B95" s="11" t="str">
        <f>CONCATENATE("          ", "6245", " - ", "PRINTING")</f>
        <v xml:space="preserve">          6245 - PRINTING</v>
      </c>
      <c r="C95" s="11"/>
      <c r="D95" s="7"/>
      <c r="E95" s="2"/>
      <c r="F95" s="6">
        <f t="shared" si="52"/>
        <v>0</v>
      </c>
      <c r="G95" s="2"/>
      <c r="H95" s="7">
        <v>100</v>
      </c>
      <c r="I95" s="2"/>
      <c r="J95" s="6">
        <f t="shared" si="53"/>
        <v>8.0083222484806212E-5</v>
      </c>
      <c r="K95" s="2"/>
      <c r="L95" s="7">
        <f t="shared" si="54"/>
        <v>-100</v>
      </c>
      <c r="M95" s="2"/>
      <c r="N95" s="6">
        <f t="shared" si="55"/>
        <v>-1</v>
      </c>
      <c r="O95" s="11"/>
      <c r="P95" s="7"/>
      <c r="Q95" s="2"/>
      <c r="R95" s="6">
        <f t="shared" si="56"/>
        <v>0</v>
      </c>
      <c r="S95" s="2"/>
      <c r="T95" s="7">
        <v>800</v>
      </c>
      <c r="U95" s="2"/>
      <c r="V95" s="6">
        <f t="shared" si="57"/>
        <v>5.0489431930778993E-4</v>
      </c>
      <c r="W95" s="2"/>
      <c r="X95" s="7">
        <f t="shared" si="58"/>
        <v>-800</v>
      </c>
      <c r="Y95" s="2"/>
      <c r="Z95" s="6">
        <f t="shared" si="59"/>
        <v>-1</v>
      </c>
    </row>
    <row r="96" spans="1:26" s="24" customFormat="1" hidden="1" outlineLevel="2" x14ac:dyDescent="0.25">
      <c r="A96" s="29"/>
      <c r="B96" s="11" t="str">
        <f>CONCATENATE("          ", "6247", " - ", "STORE SUPPLIES")</f>
        <v xml:space="preserve">          6247 - STORE SUPPLIES</v>
      </c>
      <c r="C96" s="11"/>
      <c r="D96" s="7">
        <v>596</v>
      </c>
      <c r="E96" s="2"/>
      <c r="F96" s="6">
        <f t="shared" si="52"/>
        <v>3.8284656972139327E-4</v>
      </c>
      <c r="G96" s="2"/>
      <c r="H96" s="7"/>
      <c r="I96" s="2"/>
      <c r="J96" s="6">
        <f t="shared" si="53"/>
        <v>0</v>
      </c>
      <c r="K96" s="2"/>
      <c r="L96" s="7">
        <f t="shared" si="54"/>
        <v>596</v>
      </c>
      <c r="M96" s="2"/>
      <c r="N96" s="6">
        <f t="shared" si="55"/>
        <v>0</v>
      </c>
      <c r="O96" s="11"/>
      <c r="P96" s="7">
        <v>796</v>
      </c>
      <c r="Q96" s="2"/>
      <c r="R96" s="6">
        <f t="shared" si="56"/>
        <v>3.7284209732017169E-4</v>
      </c>
      <c r="S96" s="2"/>
      <c r="T96" s="7">
        <v>411</v>
      </c>
      <c r="U96" s="2"/>
      <c r="V96" s="6">
        <f t="shared" si="57"/>
        <v>2.5938945654437707E-4</v>
      </c>
      <c r="W96" s="2"/>
      <c r="X96" s="7">
        <f t="shared" si="58"/>
        <v>385</v>
      </c>
      <c r="Y96" s="2"/>
      <c r="Z96" s="6">
        <f t="shared" si="59"/>
        <v>0.93673965936739656</v>
      </c>
    </row>
    <row r="97" spans="1:26" s="24" customFormat="1" hidden="1" outlineLevel="2" x14ac:dyDescent="0.25">
      <c r="A97" s="29"/>
      <c r="B97" s="11" t="str">
        <f>CONCATENATE("          ", "6248", " - ", "UNIFORMS")</f>
        <v xml:space="preserve">          6248 - UNIFORMS</v>
      </c>
      <c r="C97" s="11"/>
      <c r="D97" s="7"/>
      <c r="E97" s="2"/>
      <c r="F97" s="6">
        <f t="shared" si="52"/>
        <v>0</v>
      </c>
      <c r="G97" s="2"/>
      <c r="H97" s="7">
        <v>588</v>
      </c>
      <c r="I97" s="2"/>
      <c r="J97" s="6">
        <f t="shared" si="53"/>
        <v>4.708893482106605E-4</v>
      </c>
      <c r="K97" s="2"/>
      <c r="L97" s="7">
        <f t="shared" si="54"/>
        <v>-588</v>
      </c>
      <c r="M97" s="2"/>
      <c r="N97" s="6">
        <f t="shared" si="55"/>
        <v>-1</v>
      </c>
      <c r="O97" s="11"/>
      <c r="P97" s="7"/>
      <c r="Q97" s="2"/>
      <c r="R97" s="6">
        <f t="shared" si="56"/>
        <v>0</v>
      </c>
      <c r="S97" s="2"/>
      <c r="T97" s="7">
        <v>4364</v>
      </c>
      <c r="U97" s="2"/>
      <c r="V97" s="6">
        <f t="shared" si="57"/>
        <v>2.754198511823994E-3</v>
      </c>
      <c r="W97" s="2"/>
      <c r="X97" s="7">
        <f t="shared" si="58"/>
        <v>-4364</v>
      </c>
      <c r="Y97" s="2"/>
      <c r="Z97" s="6">
        <f t="shared" si="59"/>
        <v>-1</v>
      </c>
    </row>
    <row r="98" spans="1:26" s="28" customFormat="1" outlineLevel="1" collapsed="1" x14ac:dyDescent="0.25">
      <c r="A98" s="27"/>
      <c r="B98" s="14" t="str">
        <f>CONCATENATE("     ","Telephone/Data Lines                              ")</f>
        <v xml:space="preserve">     Telephone/Data Lines                              </v>
      </c>
      <c r="C98" s="14"/>
      <c r="D98" s="1">
        <f>SUM(OSRRefD22_18x_0)</f>
        <v>1508.13</v>
      </c>
      <c r="E98" s="1"/>
      <c r="F98" s="5">
        <f t="shared" ref="F98:F100" si="60">IF(D$12=0,0,D98/D$12)</f>
        <v>9.6876241139920276E-4</v>
      </c>
      <c r="G98" s="1"/>
      <c r="H98" s="1">
        <f>SUM(OSRRefH22_18x_0)</f>
        <v>961</v>
      </c>
      <c r="I98" s="1"/>
      <c r="J98" s="5">
        <f t="shared" ref="J98:J100" si="61">IF(H$12=0,0,H98/H$12)</f>
        <v>7.6959976807898772E-4</v>
      </c>
      <c r="K98" s="1"/>
      <c r="L98" s="1">
        <f t="shared" ref="L98:L100" si="62">+D98-H98</f>
        <v>547.13000000000011</v>
      </c>
      <c r="M98" s="1"/>
      <c r="N98" s="5">
        <f t="shared" ref="N98:N100" si="63">IF(H98=0,0,L98/H98)</f>
        <v>0.56933402705515102</v>
      </c>
      <c r="O98" s="14"/>
      <c r="P98" s="1">
        <f>SUM(OSRRefP22_18x_0)</f>
        <v>3875.63</v>
      </c>
      <c r="Q98" s="1"/>
      <c r="R98" s="5">
        <f t="shared" ref="R98:R100" si="64">IF(P$12=0,0,P98/P$12)</f>
        <v>1.8153241427600214E-3</v>
      </c>
      <c r="S98" s="1"/>
      <c r="T98" s="1">
        <f>SUM(OSRRefT22_18x_0)</f>
        <v>3033</v>
      </c>
      <c r="U98" s="1"/>
      <c r="V98" s="5">
        <f t="shared" ref="V98:V100" si="65">IF(T$12=0,0,T98/T$12)</f>
        <v>1.9141805880756584E-3</v>
      </c>
      <c r="W98" s="1"/>
      <c r="X98" s="1">
        <f t="shared" ref="X98:X100" si="66">+P98-T98</f>
        <v>842.63000000000011</v>
      </c>
      <c r="Y98" s="1"/>
      <c r="Z98" s="5">
        <f t="shared" ref="Z98:Z100" si="67">IF(T98=0,0,X98/T98)</f>
        <v>0.27782063963072867</v>
      </c>
    </row>
    <row r="99" spans="1:26" s="24" customFormat="1" hidden="1" outlineLevel="2" x14ac:dyDescent="0.25">
      <c r="A99" s="29"/>
      <c r="B99" s="11" t="str">
        <f>CONCATENATE("          ", "6303", " - ", "DATA PHONE LINES")</f>
        <v xml:space="preserve">          6303 - DATA PHONE LINES</v>
      </c>
      <c r="C99" s="11"/>
      <c r="D99" s="7"/>
      <c r="E99" s="2"/>
      <c r="F99" s="6">
        <f t="shared" si="60"/>
        <v>0</v>
      </c>
      <c r="G99" s="2"/>
      <c r="H99" s="7">
        <v>193</v>
      </c>
      <c r="I99" s="2"/>
      <c r="J99" s="6">
        <f t="shared" si="61"/>
        <v>1.5456061939567598E-4</v>
      </c>
      <c r="K99" s="2"/>
      <c r="L99" s="7">
        <f t="shared" si="62"/>
        <v>-193</v>
      </c>
      <c r="M99" s="2"/>
      <c r="N99" s="6">
        <f t="shared" si="63"/>
        <v>-1</v>
      </c>
      <c r="O99" s="11"/>
      <c r="P99" s="7"/>
      <c r="Q99" s="2"/>
      <c r="R99" s="6">
        <f t="shared" si="64"/>
        <v>0</v>
      </c>
      <c r="S99" s="2"/>
      <c r="T99" s="7">
        <v>579</v>
      </c>
      <c r="U99" s="2"/>
      <c r="V99" s="6">
        <f t="shared" si="65"/>
        <v>3.6541726359901294E-4</v>
      </c>
      <c r="W99" s="2"/>
      <c r="X99" s="7">
        <f t="shared" si="66"/>
        <v>-579</v>
      </c>
      <c r="Y99" s="2"/>
      <c r="Z99" s="6">
        <f t="shared" si="67"/>
        <v>-1</v>
      </c>
    </row>
    <row r="100" spans="1:26" s="24" customFormat="1" hidden="1" outlineLevel="2" x14ac:dyDescent="0.25">
      <c r="A100" s="29"/>
      <c r="B100" s="11" t="str">
        <f>CONCATENATE("          ", "6309", " - ", "TELEPHONE")</f>
        <v xml:space="preserve">          6309 - TELEPHONE</v>
      </c>
      <c r="C100" s="11"/>
      <c r="D100" s="7">
        <v>1508.13</v>
      </c>
      <c r="E100" s="2"/>
      <c r="F100" s="6">
        <f t="shared" si="60"/>
        <v>9.6876241139920276E-4</v>
      </c>
      <c r="G100" s="2"/>
      <c r="H100" s="7">
        <v>768</v>
      </c>
      <c r="I100" s="2"/>
      <c r="J100" s="6">
        <f t="shared" si="61"/>
        <v>6.1503914868331171E-4</v>
      </c>
      <c r="K100" s="2"/>
      <c r="L100" s="7">
        <f t="shared" si="62"/>
        <v>740.13000000000011</v>
      </c>
      <c r="M100" s="2"/>
      <c r="N100" s="6">
        <f t="shared" si="63"/>
        <v>0.96371093750000014</v>
      </c>
      <c r="O100" s="11"/>
      <c r="P100" s="7">
        <v>3875.63</v>
      </c>
      <c r="Q100" s="2"/>
      <c r="R100" s="6">
        <f t="shared" si="64"/>
        <v>1.8153241427600214E-3</v>
      </c>
      <c r="S100" s="2"/>
      <c r="T100" s="7">
        <v>2454</v>
      </c>
      <c r="U100" s="2"/>
      <c r="V100" s="6">
        <f t="shared" si="65"/>
        <v>1.5487633244766455E-3</v>
      </c>
      <c r="W100" s="2"/>
      <c r="X100" s="7">
        <f t="shared" si="66"/>
        <v>1421.63</v>
      </c>
      <c r="Y100" s="2"/>
      <c r="Z100" s="6">
        <f t="shared" si="67"/>
        <v>0.57931132844335786</v>
      </c>
    </row>
    <row r="101" spans="1:26" s="28" customFormat="1" outlineLevel="1" collapsed="1" x14ac:dyDescent="0.25">
      <c r="A101" s="27"/>
      <c r="B101" s="14" t="str">
        <f>CONCATENATE("     ","Training                                          ")</f>
        <v xml:space="preserve">     Training                                          </v>
      </c>
      <c r="C101" s="14"/>
      <c r="D101" s="1">
        <f>SUM(OSRRefD22_19x_0)</f>
        <v>0</v>
      </c>
      <c r="E101" s="1"/>
      <c r="F101" s="5">
        <f t="shared" ref="F101:F105" si="68">IF(D$12=0,0,D101/D$12)</f>
        <v>0</v>
      </c>
      <c r="G101" s="1"/>
      <c r="H101" s="1">
        <f>SUM(OSRRefH22_19x_0)</f>
        <v>840</v>
      </c>
      <c r="I101" s="1"/>
      <c r="J101" s="5">
        <f t="shared" ref="J101:J105" si="69">IF(H$12=0,0,H101/H$12)</f>
        <v>6.7269906887237212E-4</v>
      </c>
      <c r="K101" s="1"/>
      <c r="L101" s="1">
        <f t="shared" ref="L101:L105" si="70">+D101-H101</f>
        <v>-840</v>
      </c>
      <c r="M101" s="1"/>
      <c r="N101" s="5">
        <f t="shared" ref="N101:N105" si="71">IF(H101=0,0,L101/H101)</f>
        <v>-1</v>
      </c>
      <c r="O101" s="14"/>
      <c r="P101" s="1">
        <f>SUM(OSRRefP22_19x_0)</f>
        <v>0</v>
      </c>
      <c r="Q101" s="1"/>
      <c r="R101" s="5">
        <f t="shared" ref="R101:R105" si="72">IF(P$12=0,0,P101/P$12)</f>
        <v>0</v>
      </c>
      <c r="S101" s="1"/>
      <c r="T101" s="1">
        <f>SUM(OSRRefT22_19x_0)</f>
        <v>2720</v>
      </c>
      <c r="U101" s="1"/>
      <c r="V101" s="5">
        <f t="shared" ref="V101:V105" si="73">IF(T$12=0,0,T101/T$12)</f>
        <v>1.7166406856464855E-3</v>
      </c>
      <c r="W101" s="1"/>
      <c r="X101" s="1">
        <f t="shared" ref="X101:X105" si="74">+P101-T101</f>
        <v>-2720</v>
      </c>
      <c r="Y101" s="1"/>
      <c r="Z101" s="5">
        <f t="shared" ref="Z101:Z105" si="75">IF(T101=0,0,X101/T101)</f>
        <v>-1</v>
      </c>
    </row>
    <row r="102" spans="1:26" s="24" customFormat="1" hidden="1" outlineLevel="2" x14ac:dyDescent="0.25">
      <c r="A102" s="29"/>
      <c r="B102" s="11" t="str">
        <f>CONCATENATE("          ", "6376", " - ", "TRAINING")</f>
        <v xml:space="preserve">          6376 - TRAINING</v>
      </c>
      <c r="C102" s="11"/>
      <c r="D102" s="7"/>
      <c r="E102" s="2"/>
      <c r="F102" s="6">
        <f t="shared" si="68"/>
        <v>0</v>
      </c>
      <c r="G102" s="2"/>
      <c r="H102" s="7">
        <v>840</v>
      </c>
      <c r="I102" s="2"/>
      <c r="J102" s="6">
        <f t="shared" si="69"/>
        <v>6.7269906887237212E-4</v>
      </c>
      <c r="K102" s="2"/>
      <c r="L102" s="7">
        <f t="shared" si="70"/>
        <v>-840</v>
      </c>
      <c r="M102" s="2"/>
      <c r="N102" s="6">
        <f t="shared" si="71"/>
        <v>-1</v>
      </c>
      <c r="O102" s="11"/>
      <c r="P102" s="7"/>
      <c r="Q102" s="2"/>
      <c r="R102" s="6">
        <f t="shared" si="72"/>
        <v>0</v>
      </c>
      <c r="S102" s="2"/>
      <c r="T102" s="7">
        <v>2720</v>
      </c>
      <c r="U102" s="2"/>
      <c r="V102" s="6">
        <f t="shared" si="73"/>
        <v>1.7166406856464855E-3</v>
      </c>
      <c r="W102" s="2"/>
      <c r="X102" s="7">
        <f t="shared" si="74"/>
        <v>-2720</v>
      </c>
      <c r="Y102" s="2"/>
      <c r="Z102" s="6">
        <f t="shared" si="75"/>
        <v>-1</v>
      </c>
    </row>
    <row r="103" spans="1:26" s="28" customFormat="1" outlineLevel="1" collapsed="1" x14ac:dyDescent="0.25">
      <c r="A103" s="27"/>
      <c r="B103" s="14" t="str">
        <f>CONCATENATE("     ","Travel                                            ")</f>
        <v xml:space="preserve">     Travel                                            </v>
      </c>
      <c r="C103" s="14"/>
      <c r="D103" s="1">
        <f>SUM(OSRRefD22_20x_0)</f>
        <v>104.02</v>
      </c>
      <c r="E103" s="1"/>
      <c r="F103" s="5">
        <f t="shared" si="68"/>
        <v>6.6818288896676719E-5</v>
      </c>
      <c r="G103" s="1"/>
      <c r="H103" s="1">
        <f>SUM(OSRRefH22_20x_0)</f>
        <v>0</v>
      </c>
      <c r="I103" s="1"/>
      <c r="J103" s="5">
        <f t="shared" si="69"/>
        <v>0</v>
      </c>
      <c r="K103" s="1"/>
      <c r="L103" s="1">
        <f t="shared" si="70"/>
        <v>104.02</v>
      </c>
      <c r="M103" s="1"/>
      <c r="N103" s="5">
        <f t="shared" si="71"/>
        <v>0</v>
      </c>
      <c r="O103" s="14"/>
      <c r="P103" s="1">
        <f>SUM(OSRRefP22_20x_0)</f>
        <v>699.02</v>
      </c>
      <c r="Q103" s="1"/>
      <c r="R103" s="5">
        <f t="shared" si="72"/>
        <v>3.2741718953360104E-4</v>
      </c>
      <c r="S103" s="1"/>
      <c r="T103" s="1">
        <f>SUM(OSRRefT22_20x_0)</f>
        <v>0</v>
      </c>
      <c r="U103" s="1"/>
      <c r="V103" s="5">
        <f t="shared" si="73"/>
        <v>0</v>
      </c>
      <c r="W103" s="1"/>
      <c r="X103" s="1">
        <f t="shared" si="74"/>
        <v>699.02</v>
      </c>
      <c r="Y103" s="1"/>
      <c r="Z103" s="5">
        <f t="shared" si="75"/>
        <v>0</v>
      </c>
    </row>
    <row r="104" spans="1:26" s="24" customFormat="1" hidden="1" outlineLevel="2" x14ac:dyDescent="0.25">
      <c r="A104" s="29"/>
      <c r="B104" s="11" t="str">
        <f>CONCATENATE("          ", "6292", " - ", "TRAVEL/CONFERENCE")</f>
        <v xml:space="preserve">          6292 - TRAVEL/CONFERENCE</v>
      </c>
      <c r="C104" s="11"/>
      <c r="D104" s="7"/>
      <c r="E104" s="2"/>
      <c r="F104" s="6">
        <f t="shared" si="68"/>
        <v>0</v>
      </c>
      <c r="G104" s="2"/>
      <c r="H104" s="7"/>
      <c r="I104" s="2"/>
      <c r="J104" s="6">
        <f t="shared" si="69"/>
        <v>0</v>
      </c>
      <c r="K104" s="2"/>
      <c r="L104" s="7">
        <f t="shared" si="70"/>
        <v>0</v>
      </c>
      <c r="M104" s="2"/>
      <c r="N104" s="6">
        <f t="shared" si="71"/>
        <v>0</v>
      </c>
      <c r="O104" s="11"/>
      <c r="P104" s="7">
        <v>595</v>
      </c>
      <c r="Q104" s="2"/>
      <c r="R104" s="6">
        <f t="shared" si="72"/>
        <v>2.7869478380088212E-4</v>
      </c>
      <c r="S104" s="2"/>
      <c r="T104" s="7"/>
      <c r="U104" s="2"/>
      <c r="V104" s="6">
        <f t="shared" si="73"/>
        <v>0</v>
      </c>
      <c r="W104" s="2"/>
      <c r="X104" s="7">
        <f t="shared" si="74"/>
        <v>595</v>
      </c>
      <c r="Y104" s="2"/>
      <c r="Z104" s="6">
        <f t="shared" si="75"/>
        <v>0</v>
      </c>
    </row>
    <row r="105" spans="1:26" s="24" customFormat="1" hidden="1" outlineLevel="2" x14ac:dyDescent="0.25">
      <c r="A105" s="29"/>
      <c r="B105" s="11" t="str">
        <f>CONCATENATE("          ", "6298", " - ", "VEHICLE MILEAGE")</f>
        <v xml:space="preserve">          6298 - VEHICLE MILEAGE</v>
      </c>
      <c r="C105" s="11"/>
      <c r="D105" s="7">
        <v>104.02</v>
      </c>
      <c r="E105" s="2"/>
      <c r="F105" s="6">
        <f t="shared" si="68"/>
        <v>6.6818288896676719E-5</v>
      </c>
      <c r="G105" s="2"/>
      <c r="H105" s="7"/>
      <c r="I105" s="2"/>
      <c r="J105" s="6">
        <f t="shared" si="69"/>
        <v>0</v>
      </c>
      <c r="K105" s="2"/>
      <c r="L105" s="7">
        <f t="shared" si="70"/>
        <v>104.02</v>
      </c>
      <c r="M105" s="2"/>
      <c r="N105" s="6">
        <f t="shared" si="71"/>
        <v>0</v>
      </c>
      <c r="O105" s="11"/>
      <c r="P105" s="7">
        <v>104.02</v>
      </c>
      <c r="Q105" s="2"/>
      <c r="R105" s="6">
        <f t="shared" si="72"/>
        <v>4.8722405732718919E-5</v>
      </c>
      <c r="S105" s="2"/>
      <c r="T105" s="7"/>
      <c r="U105" s="2"/>
      <c r="V105" s="6">
        <f t="shared" si="73"/>
        <v>0</v>
      </c>
      <c r="W105" s="2"/>
      <c r="X105" s="7">
        <f t="shared" si="74"/>
        <v>104.02</v>
      </c>
      <c r="Y105" s="2"/>
      <c r="Z105" s="6">
        <f t="shared" si="75"/>
        <v>0</v>
      </c>
    </row>
    <row r="106" spans="1:26" s="28" customFormat="1" outlineLevel="1" collapsed="1" x14ac:dyDescent="0.25">
      <c r="A106" s="27"/>
      <c r="B106" s="14" t="str">
        <f>CONCATENATE("     ","Utilities                                         ")</f>
        <v xml:space="preserve">     Utilities                                         </v>
      </c>
      <c r="C106" s="14"/>
      <c r="D106" s="1">
        <f>SUM(OSRRefD22_21x_0)</f>
        <v>8150</v>
      </c>
      <c r="E106" s="1"/>
      <c r="F106" s="5">
        <f t="shared" ref="F106:F107" si="76">IF(D$12=0,0,D106/D$12)</f>
        <v>5.2352341329351595E-3</v>
      </c>
      <c r="G106" s="1"/>
      <c r="H106" s="1">
        <f>SUM(OSRRefH22_21x_0)</f>
        <v>8667</v>
      </c>
      <c r="I106" s="1"/>
      <c r="J106" s="5">
        <f t="shared" ref="J106:J107" si="77">IF(H$12=0,0,H106/H$12)</f>
        <v>6.9408128927581541E-3</v>
      </c>
      <c r="K106" s="1"/>
      <c r="L106" s="1">
        <f t="shared" ref="L106:L107" si="78">+D106-H106</f>
        <v>-517</v>
      </c>
      <c r="M106" s="1"/>
      <c r="N106" s="5">
        <f t="shared" ref="N106:N107" si="79">IF(H106=0,0,L106/H106)</f>
        <v>-5.9651551863389871E-2</v>
      </c>
      <c r="O106" s="14"/>
      <c r="P106" s="1">
        <f>SUM(OSRRefP22_21x_0)</f>
        <v>24450</v>
      </c>
      <c r="Q106" s="1"/>
      <c r="R106" s="5">
        <f t="shared" ref="R106:R107" si="80">IF(P$12=0,0,P106/P$12)</f>
        <v>1.1452247838540449E-2</v>
      </c>
      <c r="S106" s="1"/>
      <c r="T106" s="1">
        <f>SUM(OSRRefT22_21x_0)</f>
        <v>26001</v>
      </c>
      <c r="U106" s="1"/>
      <c r="V106" s="5">
        <f t="shared" ref="V106:V107" si="81">IF(T$12=0,0,T106/T$12)</f>
        <v>1.6409696495402307E-2</v>
      </c>
      <c r="W106" s="1"/>
      <c r="X106" s="1">
        <f t="shared" ref="X106:X107" si="82">+P106-T106</f>
        <v>-1551</v>
      </c>
      <c r="Y106" s="1"/>
      <c r="Z106" s="5">
        <f t="shared" ref="Z106:Z107" si="83">IF(T106=0,0,X106/T106)</f>
        <v>-5.9651551863389871E-2</v>
      </c>
    </row>
    <row r="107" spans="1:26" s="24" customFormat="1" hidden="1" outlineLevel="2" x14ac:dyDescent="0.25">
      <c r="A107" s="29"/>
      <c r="B107" s="11" t="str">
        <f>CONCATENATE("          ", "6274", " - ", "UTILITIES")</f>
        <v xml:space="preserve">          6274 - UTILITIES</v>
      </c>
      <c r="C107" s="11"/>
      <c r="D107" s="7">
        <v>8150</v>
      </c>
      <c r="E107" s="2"/>
      <c r="F107" s="6">
        <f t="shared" si="76"/>
        <v>5.2352341329351595E-3</v>
      </c>
      <c r="G107" s="2"/>
      <c r="H107" s="7">
        <v>8667</v>
      </c>
      <c r="I107" s="2"/>
      <c r="J107" s="6">
        <f t="shared" si="77"/>
        <v>6.9408128927581541E-3</v>
      </c>
      <c r="K107" s="2"/>
      <c r="L107" s="7">
        <f t="shared" si="78"/>
        <v>-517</v>
      </c>
      <c r="M107" s="2"/>
      <c r="N107" s="6">
        <f t="shared" si="79"/>
        <v>-5.9651551863389871E-2</v>
      </c>
      <c r="O107" s="11"/>
      <c r="P107" s="7">
        <v>24450</v>
      </c>
      <c r="Q107" s="2"/>
      <c r="R107" s="6">
        <f t="shared" si="80"/>
        <v>1.1452247838540449E-2</v>
      </c>
      <c r="S107" s="2"/>
      <c r="T107" s="7">
        <v>26001</v>
      </c>
      <c r="U107" s="2"/>
      <c r="V107" s="6">
        <f t="shared" si="81"/>
        <v>1.6409696495402307E-2</v>
      </c>
      <c r="W107" s="2"/>
      <c r="X107" s="7">
        <f t="shared" si="82"/>
        <v>-1551</v>
      </c>
      <c r="Y107" s="2"/>
      <c r="Z107" s="6">
        <f t="shared" si="83"/>
        <v>-5.9651551863389871E-2</v>
      </c>
    </row>
    <row r="108" spans="1:26" s="58" customFormat="1" x14ac:dyDescent="0.25">
      <c r="A108" s="36"/>
      <c r="B108" s="36"/>
      <c r="C108" s="36"/>
      <c r="D108" s="1"/>
      <c r="E108" s="1"/>
      <c r="F108" s="5"/>
      <c r="G108" s="1"/>
      <c r="H108" s="1"/>
      <c r="I108" s="1"/>
      <c r="J108" s="5"/>
      <c r="K108" s="1"/>
      <c r="L108" s="1"/>
      <c r="M108" s="1"/>
      <c r="N108" s="5"/>
      <c r="O108" s="36"/>
      <c r="P108" s="1"/>
      <c r="Q108" s="1"/>
      <c r="R108" s="5"/>
      <c r="S108" s="1"/>
      <c r="T108" s="1"/>
      <c r="U108" s="1"/>
      <c r="V108" s="5"/>
      <c r="W108" s="1"/>
      <c r="X108" s="1"/>
      <c r="Y108" s="1"/>
      <c r="Z108" s="5"/>
    </row>
    <row r="109" spans="1:26" s="23" customFormat="1" collapsed="1" x14ac:dyDescent="0.25">
      <c r="A109" s="10"/>
      <c r="B109" s="26" t="s">
        <v>293</v>
      </c>
      <c r="C109" s="10"/>
      <c r="D109" s="4">
        <f>SUM(OSRRefD25x_0)</f>
        <v>2991.7999999999993</v>
      </c>
      <c r="E109" s="4"/>
      <c r="F109" s="12">
        <f t="shared" ref="F109:F112" si="84">IF(D$12=0,0,D109/D$12)</f>
        <v>1.9218126967994365E-3</v>
      </c>
      <c r="G109" s="4"/>
      <c r="H109" s="4">
        <f>SUM(OSRRefH25x_0)</f>
        <v>250</v>
      </c>
      <c r="I109" s="4"/>
      <c r="J109" s="12">
        <f t="shared" ref="J109:J112" si="85">IF(H$12=0,0,H109/H$12)</f>
        <v>2.0020805621201552E-4</v>
      </c>
      <c r="K109" s="4"/>
      <c r="L109" s="4">
        <f t="shared" ref="L109:L112" si="86">+D109-H109</f>
        <v>2741.7999999999993</v>
      </c>
      <c r="M109" s="4"/>
      <c r="N109" s="12">
        <f t="shared" ref="N109:N112" si="87">IF(H109=0,0,L109/H109)</f>
        <v>10.967199999999997</v>
      </c>
      <c r="O109" s="10"/>
      <c r="P109" s="4">
        <f>SUM(OSRRefP25x_0)</f>
        <v>17194.05</v>
      </c>
      <c r="Q109" s="4"/>
      <c r="R109" s="12">
        <f t="shared" ref="R109:R112" si="88">IF(P$12=0,0,P109/P$12)</f>
        <v>8.0536000796832888E-3</v>
      </c>
      <c r="S109" s="4"/>
      <c r="T109" s="4">
        <f>SUM(OSRRefT25x_0)</f>
        <v>250</v>
      </c>
      <c r="U109" s="4"/>
      <c r="V109" s="12">
        <f t="shared" ref="V109:V112" si="89">IF(T$12=0,0,T109/T$12)</f>
        <v>1.5777947478368433E-4</v>
      </c>
      <c r="W109" s="4"/>
      <c r="X109" s="4">
        <f t="shared" ref="X109:X112" si="90">+P109-T109</f>
        <v>16944.05</v>
      </c>
      <c r="Y109" s="4"/>
      <c r="Z109" s="12">
        <f t="shared" ref="Z109:Z112" si="91">IF(T109=0,0,X109/T109)</f>
        <v>67.776200000000003</v>
      </c>
    </row>
    <row r="110" spans="1:26" s="24" customFormat="1" hidden="1" outlineLevel="1" x14ac:dyDescent="0.25">
      <c r="A110" s="44"/>
      <c r="B110" s="11" t="str">
        <f>CONCATENATE("          ", "9150", " - ", "MISC. INCOME")</f>
        <v xml:space="preserve">          9150 - MISC. INCOME</v>
      </c>
      <c r="C110" s="11"/>
      <c r="D110" s="2">
        <f>--14735.43</f>
        <v>14735.43</v>
      </c>
      <c r="E110" s="2"/>
      <c r="F110" s="19">
        <f t="shared" si="84"/>
        <v>9.4654510551505193E-3</v>
      </c>
      <c r="G110" s="2"/>
      <c r="H110" s="2">
        <v>250</v>
      </c>
      <c r="I110" s="2"/>
      <c r="J110" s="19">
        <f t="shared" si="85"/>
        <v>2.0020805621201552E-4</v>
      </c>
      <c r="K110" s="2"/>
      <c r="L110" s="2">
        <f t="shared" si="86"/>
        <v>14485.43</v>
      </c>
      <c r="M110" s="2"/>
      <c r="N110" s="19">
        <f t="shared" si="87"/>
        <v>57.941720000000004</v>
      </c>
      <c r="O110" s="11"/>
      <c r="P110" s="2">
        <f>--17194.05</f>
        <v>17194.05</v>
      </c>
      <c r="Q110" s="2"/>
      <c r="R110" s="19">
        <f t="shared" si="88"/>
        <v>8.0536000796832888E-3</v>
      </c>
      <c r="S110" s="2"/>
      <c r="T110" s="2">
        <v>250</v>
      </c>
      <c r="U110" s="2"/>
      <c r="V110" s="19">
        <f t="shared" si="89"/>
        <v>1.5777947478368433E-4</v>
      </c>
      <c r="W110" s="2"/>
      <c r="X110" s="2">
        <f t="shared" si="90"/>
        <v>16944.05</v>
      </c>
      <c r="Y110" s="2"/>
      <c r="Z110" s="19">
        <f t="shared" si="91"/>
        <v>67.776200000000003</v>
      </c>
    </row>
    <row r="111" spans="1:26" s="24" customFormat="1" hidden="1" outlineLevel="1" x14ac:dyDescent="0.25">
      <c r="A111" s="44"/>
      <c r="B111" s="11" t="str">
        <f>CONCATENATE("          ", "9160", " - ", "MISC. INCOME")</f>
        <v xml:space="preserve">          9160 - MISC. INCOME</v>
      </c>
      <c r="C111" s="11"/>
      <c r="D111" s="2">
        <f>-11238.12</f>
        <v>-11238.12</v>
      </c>
      <c r="E111" s="2"/>
      <c r="F111" s="19">
        <f t="shared" si="84"/>
        <v>-7.218918946505678E-3</v>
      </c>
      <c r="G111" s="2"/>
      <c r="H111" s="2"/>
      <c r="I111" s="2"/>
      <c r="J111" s="19">
        <f t="shared" si="85"/>
        <v>0</v>
      </c>
      <c r="K111" s="2"/>
      <c r="L111" s="2">
        <f t="shared" si="86"/>
        <v>-11238.12</v>
      </c>
      <c r="M111" s="2"/>
      <c r="N111" s="19">
        <f t="shared" si="87"/>
        <v>0</v>
      </c>
      <c r="O111" s="11"/>
      <c r="P111" s="2">
        <f t="shared" ref="P111:P112" si="92">0</f>
        <v>0</v>
      </c>
      <c r="Q111" s="2"/>
      <c r="R111" s="19">
        <f t="shared" si="88"/>
        <v>0</v>
      </c>
      <c r="S111" s="2"/>
      <c r="T111" s="2"/>
      <c r="U111" s="2"/>
      <c r="V111" s="19">
        <f t="shared" si="89"/>
        <v>0</v>
      </c>
      <c r="W111" s="2"/>
      <c r="X111" s="2">
        <f t="shared" si="90"/>
        <v>0</v>
      </c>
      <c r="Y111" s="2"/>
      <c r="Z111" s="19">
        <f t="shared" si="91"/>
        <v>0</v>
      </c>
    </row>
    <row r="112" spans="1:26" s="24" customFormat="1" hidden="1" outlineLevel="1" x14ac:dyDescent="0.25">
      <c r="A112" s="44"/>
      <c r="B112" s="11" t="str">
        <f>CONCATENATE("          ", "9165", " - ", "OTHER INCOME")</f>
        <v xml:space="preserve">          9165 - OTHER INCOME</v>
      </c>
      <c r="C112" s="11"/>
      <c r="D112" s="2">
        <f>-505.51</f>
        <v>-505.51</v>
      </c>
      <c r="E112" s="2"/>
      <c r="F112" s="19">
        <f t="shared" si="84"/>
        <v>-3.2471941184540522E-4</v>
      </c>
      <c r="G112" s="2"/>
      <c r="H112" s="2"/>
      <c r="I112" s="2"/>
      <c r="J112" s="19">
        <f t="shared" si="85"/>
        <v>0</v>
      </c>
      <c r="K112" s="2"/>
      <c r="L112" s="2">
        <f t="shared" si="86"/>
        <v>-505.51</v>
      </c>
      <c r="M112" s="2"/>
      <c r="N112" s="19">
        <f t="shared" si="87"/>
        <v>0</v>
      </c>
      <c r="O112" s="11"/>
      <c r="P112" s="2">
        <f t="shared" si="92"/>
        <v>0</v>
      </c>
      <c r="Q112" s="2"/>
      <c r="R112" s="19">
        <f t="shared" si="88"/>
        <v>0</v>
      </c>
      <c r="S112" s="2"/>
      <c r="T112" s="2"/>
      <c r="U112" s="2"/>
      <c r="V112" s="19">
        <f t="shared" si="89"/>
        <v>0</v>
      </c>
      <c r="W112" s="2"/>
      <c r="X112" s="2">
        <f t="shared" si="90"/>
        <v>0</v>
      </c>
      <c r="Y112" s="2"/>
      <c r="Z112" s="19">
        <f t="shared" si="91"/>
        <v>0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10"/>
      <c r="B114" s="25" t="s">
        <v>277</v>
      </c>
      <c r="C114" s="25"/>
      <c r="D114" s="21">
        <f>+D25-D27+D109</f>
        <v>478205.95999999979</v>
      </c>
      <c r="E114" s="13"/>
      <c r="F114" s="20">
        <f>IF(D$12=0,0,D114/D$12)</f>
        <v>0.3071803882656472</v>
      </c>
      <c r="G114" s="13"/>
      <c r="H114" s="21">
        <f>+H25-H27+H109</f>
        <v>171256.0192268726</v>
      </c>
      <c r="I114" s="13"/>
      <c r="J114" s="20">
        <f>IF(H$12=0,0,H114/H$12)</f>
        <v>0.13714733889607889</v>
      </c>
      <c r="K114" s="16"/>
      <c r="L114" s="21">
        <f>+D114-H114</f>
        <v>306949.94077312719</v>
      </c>
      <c r="M114" s="16"/>
      <c r="N114" s="20">
        <f>IF(H114=0,0,L114/H114)</f>
        <v>1.7923454145368936</v>
      </c>
      <c r="O114" s="26"/>
      <c r="P114" s="21">
        <f>+P25-P27+P109</f>
        <v>3582.4700000003904</v>
      </c>
      <c r="Q114" s="13"/>
      <c r="R114" s="20">
        <f>IF(P$12=0,0,P114/P$12)</f>
        <v>1.6780095834004285E-3</v>
      </c>
      <c r="S114" s="13"/>
      <c r="T114" s="21">
        <f>+T25-T27+T109</f>
        <v>-745760.56916680094</v>
      </c>
      <c r="U114" s="13"/>
      <c r="V114" s="20">
        <f>IF(T$12=0,0,T114/T$12)</f>
        <v>-0.47066284367007738</v>
      </c>
      <c r="W114" s="16"/>
      <c r="X114" s="21">
        <f>+P114-T114</f>
        <v>749343.03916680138</v>
      </c>
      <c r="Y114" s="16"/>
      <c r="Z114" s="20">
        <f>IF(T114=0,0,X114/T114)</f>
        <v>-1.0048037803929524</v>
      </c>
    </row>
    <row r="115" spans="1:26" x14ac:dyDescent="0.25">
      <c r="A115" s="9"/>
      <c r="B115" s="10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x14ac:dyDescent="0.25">
      <c r="A116" s="52"/>
      <c r="B116" s="10" t="s">
        <v>128</v>
      </c>
      <c r="C116" s="10"/>
      <c r="D116" s="4">
        <v>177853.95</v>
      </c>
      <c r="E116" s="4"/>
      <c r="F116" s="12">
        <f>IF(D$12=0,0,D116/D$12)</f>
        <v>0.11424626622298691</v>
      </c>
      <c r="G116" s="4"/>
      <c r="H116" s="4">
        <v>134444</v>
      </c>
      <c r="I116" s="4"/>
      <c r="J116" s="12">
        <f>IF(H$12=0,0,H116/H$12)</f>
        <v>0.10766708763747286</v>
      </c>
      <c r="K116" s="4"/>
      <c r="L116" s="4">
        <f>+D116-H116</f>
        <v>43409.950000000012</v>
      </c>
      <c r="M116" s="4"/>
      <c r="N116" s="12">
        <f>IF(H116=0,0,L116/H116)</f>
        <v>0.32288499300824142</v>
      </c>
      <c r="O116" s="10"/>
      <c r="P116" s="4">
        <v>264255.02</v>
      </c>
      <c r="Q116" s="4"/>
      <c r="R116" s="12">
        <f>IF(P$12=0,0,P116/P$12)</f>
        <v>0.12377562297008031</v>
      </c>
      <c r="S116" s="4"/>
      <c r="T116" s="4">
        <v>172050</v>
      </c>
      <c r="U116" s="4"/>
      <c r="V116" s="12">
        <f>IF(T$12=0,0,T116/T$12)</f>
        <v>0.10858383454613156</v>
      </c>
      <c r="W116" s="4"/>
      <c r="X116" s="4">
        <f>+P116-T116</f>
        <v>92205.020000000019</v>
      </c>
      <c r="Y116" s="4"/>
      <c r="Z116" s="12">
        <f>IF(T116=0,0,X116/T116)</f>
        <v>0.53591990700377812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ht="15.75" thickBot="1" x14ac:dyDescent="0.3">
      <c r="A118" s="10"/>
      <c r="B118" s="25" t="s">
        <v>126</v>
      </c>
      <c r="C118" s="25"/>
      <c r="D118" s="33">
        <f>+D114-D116</f>
        <v>300352.00999999978</v>
      </c>
      <c r="E118" s="13"/>
      <c r="F118" s="31">
        <f>IF(D$12=0,0,D118/D$12)</f>
        <v>0.19293412204266028</v>
      </c>
      <c r="G118" s="13"/>
      <c r="H118" s="33">
        <f>+H114-H116</f>
        <v>36812.019226872595</v>
      </c>
      <c r="I118" s="13"/>
      <c r="J118" s="31">
        <f>IF(H$12=0,0,H118/H$12)</f>
        <v>2.9480251258606021E-2</v>
      </c>
      <c r="K118" s="16"/>
      <c r="L118" s="33">
        <f>D118-H118</f>
        <v>263539.99077312718</v>
      </c>
      <c r="M118" s="16"/>
      <c r="N118" s="31">
        <f>IF(H118=0,0,L118/H118)</f>
        <v>7.1590745715123463</v>
      </c>
      <c r="O118" s="26"/>
      <c r="P118" s="33">
        <f>+P114-P116</f>
        <v>-260672.54999999964</v>
      </c>
      <c r="Q118" s="13"/>
      <c r="R118" s="31">
        <f>IF(P$12=0,0,P118/P$12)</f>
        <v>-0.12209761338667989</v>
      </c>
      <c r="S118" s="13"/>
      <c r="T118" s="33">
        <f>+T114-T116</f>
        <v>-917810.56916680094</v>
      </c>
      <c r="U118" s="13"/>
      <c r="V118" s="31">
        <f>IF(T$12=0,0,T118/T$12)</f>
        <v>-0.57924667821620901</v>
      </c>
      <c r="W118" s="16"/>
      <c r="X118" s="33">
        <f>P118-T118</f>
        <v>657138.01916680136</v>
      </c>
      <c r="Y118" s="16"/>
      <c r="Z118" s="31">
        <f>IF(T118=0,0,X118/T118)</f>
        <v>-0.71598436675594057</v>
      </c>
    </row>
    <row r="119" spans="1:26" ht="15.75" thickTop="1" x14ac:dyDescent="0.25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.75" thickBot="1" x14ac:dyDescent="0.3">
      <c r="A121" s="10"/>
      <c r="B121" s="25" t="s">
        <v>294</v>
      </c>
      <c r="C121" s="25"/>
      <c r="D121" s="35">
        <f>SUM(D118:D120)</f>
        <v>300352.00999999978</v>
      </c>
      <c r="E121" s="13"/>
      <c r="F121" s="34">
        <f>IF(D$12=0,0,D121/D$12)</f>
        <v>0.19293412204266028</v>
      </c>
      <c r="G121" s="13"/>
      <c r="H121" s="35">
        <f>SUM(H118:H120)</f>
        <v>36812.019226872595</v>
      </c>
      <c r="I121" s="13"/>
      <c r="J121" s="34">
        <f>IF(H$12=0,0,H121/H$12)</f>
        <v>2.9480251258606021E-2</v>
      </c>
      <c r="K121" s="16"/>
      <c r="L121" s="35">
        <f>+D121-H121</f>
        <v>263539.99077312718</v>
      </c>
      <c r="M121" s="16"/>
      <c r="N121" s="34">
        <f>IF(H121=0,0,L121/H121)</f>
        <v>7.1590745715123463</v>
      </c>
      <c r="O121" s="26"/>
      <c r="P121" s="35">
        <f>SUM(P118:P120)</f>
        <v>-260672.54999999964</v>
      </c>
      <c r="Q121" s="13"/>
      <c r="R121" s="34">
        <f>IF(P$12=0,0,P121/P$12)</f>
        <v>-0.12209761338667989</v>
      </c>
      <c r="S121" s="13"/>
      <c r="T121" s="35">
        <f>SUM(T118:T120)</f>
        <v>-917810.56916680094</v>
      </c>
      <c r="U121" s="13"/>
      <c r="V121" s="34">
        <f>IF(T$12=0,0,T121/T$12)</f>
        <v>-0.57924667821620901</v>
      </c>
      <c r="W121" s="16"/>
      <c r="X121" s="35">
        <f>+P121-T121</f>
        <v>657138.01916680136</v>
      </c>
      <c r="Y121" s="16"/>
      <c r="Z121" s="34">
        <f>IF(T121=0,0,X121/T121)</f>
        <v>-0.71598436675594057</v>
      </c>
    </row>
    <row r="122" spans="1:26" ht="15.75" thickTop="1" x14ac:dyDescent="0.25">
      <c r="A122" s="9"/>
      <c r="C122" s="9"/>
      <c r="D122" s="18"/>
      <c r="E122" s="18"/>
      <c r="G122" s="18"/>
      <c r="H122" s="18"/>
      <c r="I122" s="18"/>
      <c r="J122" s="43"/>
      <c r="K122" s="18"/>
      <c r="L122" s="18"/>
      <c r="M122" s="18"/>
      <c r="P122" s="18"/>
      <c r="Q122" s="18"/>
      <c r="R122" s="43"/>
      <c r="S122" s="18"/>
      <c r="T122" s="18"/>
      <c r="U122" s="18"/>
      <c r="V122" s="43"/>
      <c r="W122" s="18"/>
      <c r="X122" s="18"/>
    </row>
    <row r="123" spans="1:26" x14ac:dyDescent="0.25">
      <c r="A123" s="9"/>
      <c r="B123" s="61">
        <v>44481.97893715278</v>
      </c>
      <c r="D123" s="18"/>
      <c r="E123" s="18"/>
      <c r="G123" s="18"/>
      <c r="H123" s="18"/>
      <c r="I123" s="18"/>
      <c r="J123" s="43"/>
      <c r="K123" s="18"/>
      <c r="L123" s="18"/>
      <c r="M123" s="18"/>
      <c r="P123" s="18"/>
      <c r="Q123" s="18"/>
      <c r="R123" s="43"/>
      <c r="S123" s="18"/>
      <c r="T123" s="18"/>
      <c r="U123" s="18"/>
      <c r="V123" s="43"/>
      <c r="W123" s="18"/>
      <c r="X123" s="18"/>
    </row>
    <row r="124" spans="1:26" x14ac:dyDescent="0.25">
      <c r="A124" s="9"/>
      <c r="B124" s="56" t="s">
        <v>56</v>
      </c>
      <c r="D124" s="18"/>
      <c r="E124" s="18"/>
      <c r="G124" s="18"/>
      <c r="H124" s="18"/>
      <c r="I124" s="18"/>
      <c r="J124" s="43"/>
      <c r="K124" s="18"/>
      <c r="L124" s="18"/>
      <c r="M124" s="18"/>
      <c r="P124" s="18"/>
      <c r="Q124" s="18"/>
      <c r="R124" s="43"/>
      <c r="S124" s="18"/>
      <c r="T124" s="18"/>
      <c r="U124" s="18"/>
      <c r="V124" s="43"/>
      <c r="W124" s="18"/>
      <c r="X124" s="18"/>
    </row>
    <row r="125" spans="1:26" x14ac:dyDescent="0.25">
      <c r="A125" s="9"/>
      <c r="B125" s="54"/>
      <c r="D125" s="18"/>
      <c r="E125" s="18"/>
      <c r="G125" s="18"/>
      <c r="H125" s="18"/>
      <c r="I125" s="18"/>
      <c r="J125" s="43"/>
      <c r="K125" s="18"/>
      <c r="L125" s="18"/>
      <c r="M125" s="18"/>
      <c r="P125" s="18"/>
      <c r="Q125" s="18"/>
      <c r="R125" s="43"/>
      <c r="S125" s="18"/>
      <c r="T125" s="18"/>
      <c r="U125" s="18"/>
      <c r="V125" s="43"/>
      <c r="W125" s="18"/>
      <c r="X125" s="18"/>
    </row>
    <row r="126" spans="1:26" x14ac:dyDescent="0.25">
      <c r="D126" s="18"/>
      <c r="E126" s="18"/>
      <c r="G126" s="18"/>
      <c r="H126" s="18"/>
      <c r="I126" s="18"/>
      <c r="J126" s="43"/>
      <c r="K126" s="18"/>
      <c r="L126" s="18"/>
      <c r="M126" s="18"/>
      <c r="P126" s="18"/>
      <c r="Q126" s="18"/>
      <c r="R126" s="43"/>
      <c r="S126" s="18"/>
      <c r="T126" s="18"/>
      <c r="U126" s="18"/>
      <c r="V126" s="43"/>
      <c r="W126" s="18"/>
      <c r="X126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39997558519241921"/>
    <outlinePr summaryBelow="0" summaryRight="0"/>
  </sheetPr>
  <dimension ref="A2:Z12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55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146278.29999999999</v>
      </c>
      <c r="E12" s="4"/>
      <c r="F12" s="12"/>
      <c r="G12" s="4"/>
      <c r="H12" s="4">
        <f>SUM(OSRRefH13x_0)</f>
        <v>161242</v>
      </c>
      <c r="I12" s="4"/>
      <c r="J12" s="12"/>
      <c r="K12" s="4"/>
      <c r="L12" s="4">
        <f t="shared" ref="L12:L18" si="0">+D12-H12</f>
        <v>-14963.700000000012</v>
      </c>
      <c r="M12" s="4"/>
      <c r="N12" s="12">
        <f t="shared" ref="N12:N18" si="1">IF(H12=0,0,L12/H12)</f>
        <v>-9.2802743702013191E-2</v>
      </c>
      <c r="O12" s="10"/>
      <c r="P12" s="4">
        <f>SUM(OSRRefP13x_0)</f>
        <v>224924.52000000002</v>
      </c>
      <c r="Q12" s="4"/>
      <c r="R12" s="12"/>
      <c r="S12" s="4"/>
      <c r="T12" s="4">
        <f>SUM(OSRRefT13x_0)</f>
        <v>227305</v>
      </c>
      <c r="U12" s="4"/>
      <c r="V12" s="12"/>
      <c r="W12" s="4"/>
      <c r="X12" s="4">
        <f t="shared" ref="X12:X18" si="2">+P12-T12</f>
        <v>-2380.4799999999814</v>
      </c>
      <c r="Y12" s="4"/>
      <c r="Z12" s="12">
        <f t="shared" ref="Z12:Z18" si="3">IF(T12=0,0,X12/T12)</f>
        <v>-1.0472624887265925E-2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--2858.93</f>
        <v>2858.93</v>
      </c>
      <c r="E13" s="2"/>
      <c r="F13" s="19"/>
      <c r="G13" s="2"/>
      <c r="H13" s="2">
        <v>44736</v>
      </c>
      <c r="I13" s="2"/>
      <c r="J13" s="19"/>
      <c r="K13" s="2"/>
      <c r="L13" s="2">
        <f t="shared" si="0"/>
        <v>-41877.07</v>
      </c>
      <c r="M13" s="2"/>
      <c r="N13" s="19">
        <f t="shared" si="1"/>
        <v>-0.93609330293276105</v>
      </c>
      <c r="O13" s="11"/>
      <c r="P13" s="2">
        <f>--4093.85</f>
        <v>4093.85</v>
      </c>
      <c r="Q13" s="2"/>
      <c r="R13" s="19"/>
      <c r="S13" s="2"/>
      <c r="T13" s="2">
        <v>64268</v>
      </c>
      <c r="U13" s="2"/>
      <c r="V13" s="19"/>
      <c r="W13" s="2"/>
      <c r="X13" s="2">
        <f t="shared" si="2"/>
        <v>-60174.15</v>
      </c>
      <c r="Y13" s="2"/>
      <c r="Z13" s="19">
        <f t="shared" si="3"/>
        <v>-0.93630033609261221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--33705.87</f>
        <v>33705.870000000003</v>
      </c>
      <c r="E14" s="2"/>
      <c r="F14" s="19"/>
      <c r="G14" s="2"/>
      <c r="H14" s="2"/>
      <c r="I14" s="2"/>
      <c r="J14" s="19"/>
      <c r="K14" s="2"/>
      <c r="L14" s="2">
        <f t="shared" si="0"/>
        <v>33705.870000000003</v>
      </c>
      <c r="M14" s="2"/>
      <c r="N14" s="19">
        <f t="shared" si="1"/>
        <v>0</v>
      </c>
      <c r="O14" s="11"/>
      <c r="P14" s="2">
        <f>--64976.31</f>
        <v>64976.31</v>
      </c>
      <c r="Q14" s="2"/>
      <c r="R14" s="19"/>
      <c r="S14" s="2"/>
      <c r="T14" s="2"/>
      <c r="U14" s="2"/>
      <c r="V14" s="19"/>
      <c r="W14" s="2"/>
      <c r="X14" s="2">
        <f t="shared" si="2"/>
        <v>64976.31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--139.09</f>
        <v>139.09</v>
      </c>
      <c r="E15" s="2"/>
      <c r="F15" s="19"/>
      <c r="G15" s="2"/>
      <c r="H15" s="2"/>
      <c r="I15" s="2"/>
      <c r="J15" s="19"/>
      <c r="K15" s="2"/>
      <c r="L15" s="2">
        <f t="shared" si="0"/>
        <v>139.09</v>
      </c>
      <c r="M15" s="2"/>
      <c r="N15" s="19">
        <f t="shared" si="1"/>
        <v>0</v>
      </c>
      <c r="O15" s="11"/>
      <c r="P15" s="2">
        <f>--139.09</f>
        <v>139.09</v>
      </c>
      <c r="Q15" s="2"/>
      <c r="R15" s="19"/>
      <c r="S15" s="2"/>
      <c r="T15" s="2"/>
      <c r="U15" s="2"/>
      <c r="V15" s="19"/>
      <c r="W15" s="2"/>
      <c r="X15" s="2">
        <f t="shared" si="2"/>
        <v>139.09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--13245.23</f>
        <v>13245.23</v>
      </c>
      <c r="E16" s="2"/>
      <c r="F16" s="19"/>
      <c r="G16" s="2"/>
      <c r="H16" s="2">
        <v>116506</v>
      </c>
      <c r="I16" s="2"/>
      <c r="J16" s="19"/>
      <c r="K16" s="2"/>
      <c r="L16" s="2">
        <f t="shared" si="0"/>
        <v>-103260.77</v>
      </c>
      <c r="M16" s="2"/>
      <c r="N16" s="19">
        <f t="shared" si="1"/>
        <v>-0.88631289375654476</v>
      </c>
      <c r="O16" s="11"/>
      <c r="P16" s="2">
        <f>--18545.1</f>
        <v>18545.099999999999</v>
      </c>
      <c r="Q16" s="2"/>
      <c r="R16" s="19"/>
      <c r="S16" s="2"/>
      <c r="T16" s="2">
        <v>163037</v>
      </c>
      <c r="U16" s="2"/>
      <c r="V16" s="19"/>
      <c r="W16" s="2"/>
      <c r="X16" s="2">
        <f t="shared" si="2"/>
        <v>-144491.9</v>
      </c>
      <c r="Y16" s="2"/>
      <c r="Z16" s="19">
        <f t="shared" si="3"/>
        <v>-0.88625220042076336</v>
      </c>
    </row>
    <row r="17" spans="1:26" s="24" customFormat="1" hidden="1" outlineLevel="1" x14ac:dyDescent="0.25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>--96459.53</f>
        <v>96459.53</v>
      </c>
      <c r="E17" s="2"/>
      <c r="F17" s="19"/>
      <c r="G17" s="2"/>
      <c r="H17" s="2"/>
      <c r="I17" s="2"/>
      <c r="J17" s="19"/>
      <c r="K17" s="2"/>
      <c r="L17" s="2">
        <f t="shared" si="0"/>
        <v>96459.53</v>
      </c>
      <c r="M17" s="2"/>
      <c r="N17" s="19">
        <f t="shared" si="1"/>
        <v>0</v>
      </c>
      <c r="O17" s="11"/>
      <c r="P17" s="2">
        <f>--137170.17</f>
        <v>137170.17000000001</v>
      </c>
      <c r="Q17" s="2"/>
      <c r="R17" s="19"/>
      <c r="S17" s="2"/>
      <c r="T17" s="2"/>
      <c r="U17" s="2"/>
      <c r="V17" s="19"/>
      <c r="W17" s="2"/>
      <c r="X17" s="2">
        <f t="shared" si="2"/>
        <v>137170.17000000001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"4153", " - ", "NON-TAXABLE SALES-FOOD")</f>
        <v xml:space="preserve">          4153 - NON-TAXABLE SALES-FOOD</v>
      </c>
      <c r="C18" s="11"/>
      <c r="D18" s="2">
        <f>-130.35</f>
        <v>-130.35</v>
      </c>
      <c r="E18" s="2"/>
      <c r="F18" s="19"/>
      <c r="G18" s="2"/>
      <c r="H18" s="2"/>
      <c r="I18" s="2"/>
      <c r="J18" s="19"/>
      <c r="K18" s="2"/>
      <c r="L18" s="2">
        <f t="shared" si="0"/>
        <v>-130.35</v>
      </c>
      <c r="M18" s="2"/>
      <c r="N18" s="19">
        <f t="shared" si="1"/>
        <v>0</v>
      </c>
      <c r="O18" s="11"/>
      <c r="P18" s="2">
        <f>0</f>
        <v>0</v>
      </c>
      <c r="Q18" s="2"/>
      <c r="R18" s="19"/>
      <c r="S18" s="2"/>
      <c r="T18" s="2"/>
      <c r="U18" s="2"/>
      <c r="V18" s="19"/>
      <c r="W18" s="2"/>
      <c r="X18" s="2">
        <f t="shared" si="2"/>
        <v>0</v>
      </c>
      <c r="Y18" s="2"/>
      <c r="Z18" s="19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6" t="s">
        <v>257</v>
      </c>
      <c r="C20" s="10"/>
      <c r="D20" s="4">
        <f>SUM(OSRRefD16x_0)</f>
        <v>59124.75</v>
      </c>
      <c r="E20" s="4"/>
      <c r="F20" s="12">
        <f t="shared" ref="F20:F23" si="4">IF(D$12=0,0,D20/D$12)</f>
        <v>0.40419358168641556</v>
      </c>
      <c r="G20" s="4"/>
      <c r="H20" s="4">
        <f>SUM(OSRRefH16x_0)</f>
        <v>62417</v>
      </c>
      <c r="I20" s="4"/>
      <c r="J20" s="12">
        <f t="shared" ref="J20:J23" si="5">IF(H$12=0,0,H20/H$12)</f>
        <v>0.38710137557212143</v>
      </c>
      <c r="K20" s="4"/>
      <c r="L20" s="4">
        <f t="shared" ref="L20:L23" si="6">+D20-H20</f>
        <v>-3292.25</v>
      </c>
      <c r="M20" s="4"/>
      <c r="N20" s="12">
        <f t="shared" ref="N20:N23" si="7">IF(H20=0,0,L20/H20)</f>
        <v>-5.2746046750084111E-2</v>
      </c>
      <c r="O20" s="10"/>
      <c r="P20" s="4">
        <f>SUM(OSRRefP16x_0)</f>
        <v>81567.740000000005</v>
      </c>
      <c r="Q20" s="4"/>
      <c r="R20" s="12">
        <f t="shared" ref="R20:R23" si="8">IF(P$12=0,0,P20/P$12)</f>
        <v>0.36264494417949628</v>
      </c>
      <c r="S20" s="4"/>
      <c r="T20" s="4">
        <f>SUM(OSRRefT16x_0)</f>
        <v>88912</v>
      </c>
      <c r="U20" s="4"/>
      <c r="V20" s="12">
        <f t="shared" ref="V20:V23" si="9">IF(T$12=0,0,T20/T$12)</f>
        <v>0.39115725566969489</v>
      </c>
      <c r="W20" s="4"/>
      <c r="X20" s="4">
        <f t="shared" ref="X20:X23" si="10">+P20-T20</f>
        <v>-7344.2599999999948</v>
      </c>
      <c r="Y20" s="4"/>
      <c r="Z20" s="12">
        <f t="shared" ref="Z20:Z23" si="11">IF(T20=0,0,X20/T20)</f>
        <v>-8.2601448623357873E-2</v>
      </c>
    </row>
    <row r="21" spans="1:26" s="24" customFormat="1" hidden="1" outlineLevel="1" x14ac:dyDescent="0.25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4"/>
        <v>0</v>
      </c>
      <c r="G21" s="2"/>
      <c r="H21" s="2">
        <v>62417</v>
      </c>
      <c r="I21" s="2"/>
      <c r="J21" s="19">
        <f t="shared" si="5"/>
        <v>0.38710137557212143</v>
      </c>
      <c r="K21" s="2"/>
      <c r="L21" s="2">
        <f t="shared" si="6"/>
        <v>-62417</v>
      </c>
      <c r="M21" s="2"/>
      <c r="N21" s="19">
        <f t="shared" si="7"/>
        <v>-1</v>
      </c>
      <c r="O21" s="11"/>
      <c r="P21" s="2"/>
      <c r="Q21" s="2"/>
      <c r="R21" s="19">
        <f t="shared" si="8"/>
        <v>0</v>
      </c>
      <c r="S21" s="2"/>
      <c r="T21" s="2">
        <v>88912</v>
      </c>
      <c r="U21" s="2"/>
      <c r="V21" s="19">
        <f t="shared" si="9"/>
        <v>0.39115725566969489</v>
      </c>
      <c r="W21" s="2"/>
      <c r="X21" s="2">
        <f t="shared" si="10"/>
        <v>-88912</v>
      </c>
      <c r="Y21" s="2"/>
      <c r="Z21" s="19">
        <f t="shared" si="11"/>
        <v>-1</v>
      </c>
    </row>
    <row r="22" spans="1:26" s="24" customFormat="1" hidden="1" outlineLevel="1" x14ac:dyDescent="0.25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47497.75</v>
      </c>
      <c r="E22" s="2"/>
      <c r="F22" s="19">
        <f t="shared" si="4"/>
        <v>0.32470810776444631</v>
      </c>
      <c r="G22" s="2"/>
      <c r="H22" s="2"/>
      <c r="I22" s="2"/>
      <c r="J22" s="19">
        <f t="shared" si="5"/>
        <v>0</v>
      </c>
      <c r="K22" s="2"/>
      <c r="L22" s="2">
        <f t="shared" si="6"/>
        <v>47497.75</v>
      </c>
      <c r="M22" s="2"/>
      <c r="N22" s="19">
        <f t="shared" si="7"/>
        <v>0</v>
      </c>
      <c r="O22" s="11"/>
      <c r="P22" s="2">
        <v>107854.74</v>
      </c>
      <c r="Q22" s="2"/>
      <c r="R22" s="19">
        <f t="shared" si="8"/>
        <v>0.47951526138635303</v>
      </c>
      <c r="S22" s="2"/>
      <c r="T22" s="2"/>
      <c r="U22" s="2"/>
      <c r="V22" s="19">
        <f t="shared" si="9"/>
        <v>0</v>
      </c>
      <c r="W22" s="2"/>
      <c r="X22" s="2">
        <f t="shared" si="10"/>
        <v>107854.74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11627</v>
      </c>
      <c r="E23" s="2"/>
      <c r="F23" s="19">
        <f t="shared" si="4"/>
        <v>7.9485473921969294E-2</v>
      </c>
      <c r="G23" s="2"/>
      <c r="H23" s="2"/>
      <c r="I23" s="2"/>
      <c r="J23" s="19">
        <f t="shared" si="5"/>
        <v>0</v>
      </c>
      <c r="K23" s="2"/>
      <c r="L23" s="2">
        <f t="shared" si="6"/>
        <v>11627</v>
      </c>
      <c r="M23" s="2"/>
      <c r="N23" s="19">
        <f t="shared" si="7"/>
        <v>0</v>
      </c>
      <c r="O23" s="11"/>
      <c r="P23" s="2">
        <v>-26287</v>
      </c>
      <c r="Q23" s="2"/>
      <c r="R23" s="19">
        <f t="shared" si="8"/>
        <v>-0.11687031720685676</v>
      </c>
      <c r="S23" s="2"/>
      <c r="T23" s="2"/>
      <c r="U23" s="2"/>
      <c r="V23" s="19">
        <f t="shared" si="9"/>
        <v>0</v>
      </c>
      <c r="W23" s="2"/>
      <c r="X23" s="2">
        <f t="shared" si="10"/>
        <v>-26287</v>
      </c>
      <c r="Y23" s="2"/>
      <c r="Z23" s="19">
        <f t="shared" si="11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5" t="s">
        <v>108</v>
      </c>
      <c r="C25" s="25"/>
      <c r="D25" s="21">
        <f>D12-D20</f>
        <v>87153.549999999988</v>
      </c>
      <c r="E25" s="13"/>
      <c r="F25" s="20">
        <f>IF(D$12=0,0,D25/D$12)</f>
        <v>0.59580641831358438</v>
      </c>
      <c r="G25" s="13"/>
      <c r="H25" s="21">
        <f>H12-H20</f>
        <v>98825</v>
      </c>
      <c r="I25" s="13"/>
      <c r="J25" s="20">
        <f>IF(H$12=0,0,H25/H$12)</f>
        <v>0.61289862442787857</v>
      </c>
      <c r="K25" s="16"/>
      <c r="L25" s="21">
        <f>+D25-H25</f>
        <v>-11671.450000000012</v>
      </c>
      <c r="M25" s="16"/>
      <c r="N25" s="20">
        <f>IF(H25=0,0,L25/H25)</f>
        <v>-0.11810220086010637</v>
      </c>
      <c r="O25" s="26"/>
      <c r="P25" s="21">
        <f>P12-P20</f>
        <v>143356.78000000003</v>
      </c>
      <c r="Q25" s="13"/>
      <c r="R25" s="20">
        <f>IF(P$12=0,0,P25/P$12)</f>
        <v>0.63735505582050378</v>
      </c>
      <c r="S25" s="13"/>
      <c r="T25" s="21">
        <f>T12-T20</f>
        <v>138393</v>
      </c>
      <c r="U25" s="13"/>
      <c r="V25" s="20">
        <f>IF(T$12=0,0,T25/T$12)</f>
        <v>0.60884274433030505</v>
      </c>
      <c r="W25" s="16"/>
      <c r="X25" s="21">
        <f>+P25-T25</f>
        <v>4963.7800000000279</v>
      </c>
      <c r="Y25" s="16"/>
      <c r="Z25" s="20">
        <f>IF(T25=0,0,X25/T25)</f>
        <v>3.5867276524101856E-2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6" t="s">
        <v>295</v>
      </c>
      <c r="C27" s="10"/>
      <c r="D27" s="22">
        <f>SUM(OSRRefD22x_0)</f>
        <v>192395.54</v>
      </c>
      <c r="E27" s="22"/>
      <c r="F27" s="32">
        <f t="shared" ref="F27:F37" si="12">IF(D$12=0,0,D27/D$12)</f>
        <v>1.3152705493569452</v>
      </c>
      <c r="G27" s="22"/>
      <c r="H27" s="22">
        <f>SUM(OSRRefH22x_0)</f>
        <v>215337.979860369</v>
      </c>
      <c r="I27" s="22"/>
      <c r="J27" s="32">
        <f t="shared" ref="J27:J37" si="13">IF(H$12=0,0,H27/H$12)</f>
        <v>1.3354955896129359</v>
      </c>
      <c r="K27" s="4"/>
      <c r="L27" s="22">
        <f t="shared" ref="L27:L37" si="14">+D27-H27</f>
        <v>-22942.439860368992</v>
      </c>
      <c r="M27" s="4"/>
      <c r="N27" s="32">
        <f t="shared" ref="N27:N37" si="15">IF(H27=0,0,L27/H27)</f>
        <v>-0.1065415393756619</v>
      </c>
      <c r="O27" s="10"/>
      <c r="P27" s="22">
        <f>SUM(OSRRefP22x_0)</f>
        <v>579577.04999999993</v>
      </c>
      <c r="Q27" s="22"/>
      <c r="R27" s="32">
        <f t="shared" ref="R27:R37" si="16">IF(P$12=0,0,P27/P$12)</f>
        <v>2.5767624178991242</v>
      </c>
      <c r="S27" s="22"/>
      <c r="T27" s="22">
        <f>SUM(OSRRefT22x_0)</f>
        <v>603814.80012533558</v>
      </c>
      <c r="U27" s="22"/>
      <c r="V27" s="32">
        <f t="shared" ref="V27:V37" si="17">IF(T$12=0,0,T27/T$12)</f>
        <v>2.6564079106281673</v>
      </c>
      <c r="W27" s="4"/>
      <c r="X27" s="22">
        <f t="shared" ref="X27:X37" si="18">+P27-T27</f>
        <v>-24237.750125335646</v>
      </c>
      <c r="Y27" s="4"/>
      <c r="Z27" s="32">
        <f t="shared" ref="Z27:Z37" si="19">IF(T27=0,0,X27/T27)</f>
        <v>-4.0141033509454464E-2</v>
      </c>
    </row>
    <row r="28" spans="1:26" s="28" customFormat="1" outlineLevel="1" collapsed="1" x14ac:dyDescent="0.25">
      <c r="A28" s="27"/>
      <c r="B28" s="14" t="str">
        <f>CONCATENATE("     ","*Benefits                                         ")</f>
        <v xml:space="preserve">     *Benefits                                         </v>
      </c>
      <c r="C28" s="14"/>
      <c r="D28" s="1">
        <f>SUM(OSRRefD22_0x_0)</f>
        <v>28818.44</v>
      </c>
      <c r="E28" s="1"/>
      <c r="F28" s="5">
        <f t="shared" si="12"/>
        <v>0.19701103991501132</v>
      </c>
      <c r="G28" s="1"/>
      <c r="H28" s="1">
        <f>SUM(OSRRefH22_0x_0)</f>
        <v>31864.948089599802</v>
      </c>
      <c r="I28" s="1"/>
      <c r="J28" s="5">
        <f t="shared" si="13"/>
        <v>0.19762188567246625</v>
      </c>
      <c r="K28" s="1"/>
      <c r="L28" s="1">
        <f t="shared" si="14"/>
        <v>-3046.5080895998035</v>
      </c>
      <c r="M28" s="1"/>
      <c r="N28" s="5">
        <f t="shared" si="15"/>
        <v>-9.5606874394819241E-2</v>
      </c>
      <c r="O28" s="14"/>
      <c r="P28" s="1">
        <f>SUM(OSRRefP22_0x_0)</f>
        <v>82352.800000000017</v>
      </c>
      <c r="Q28" s="1"/>
      <c r="R28" s="5">
        <f t="shared" si="16"/>
        <v>0.36613527062322959</v>
      </c>
      <c r="S28" s="1"/>
      <c r="T28" s="1">
        <f>SUM(OSRRefT22_0x_0)</f>
        <v>95462.649510335614</v>
      </c>
      <c r="U28" s="1"/>
      <c r="V28" s="5">
        <f t="shared" si="17"/>
        <v>0.41997602125045913</v>
      </c>
      <c r="W28" s="1"/>
      <c r="X28" s="1">
        <f t="shared" si="18"/>
        <v>-13109.849510335596</v>
      </c>
      <c r="Y28" s="1"/>
      <c r="Z28" s="5">
        <f t="shared" si="19"/>
        <v>-0.13732962135014082</v>
      </c>
    </row>
    <row r="29" spans="1:26" s="24" customFormat="1" hidden="1" outlineLevel="2" x14ac:dyDescent="0.25">
      <c r="A29" s="29"/>
      <c r="B29" s="11" t="str">
        <f>CONCATENATE("          ", "6111", " - ", "F.I.C.A.")</f>
        <v xml:space="preserve">          6111 - F.I.C.A.</v>
      </c>
      <c r="C29" s="11"/>
      <c r="D29" s="7">
        <v>4467.9399999999996</v>
      </c>
      <c r="E29" s="2"/>
      <c r="F29" s="6">
        <f t="shared" si="12"/>
        <v>3.0544106678844368E-2</v>
      </c>
      <c r="G29" s="2"/>
      <c r="H29" s="7">
        <v>4011.17687775369</v>
      </c>
      <c r="I29" s="2"/>
      <c r="J29" s="6">
        <f t="shared" si="13"/>
        <v>2.4876749716287876E-2</v>
      </c>
      <c r="K29" s="2"/>
      <c r="L29" s="7">
        <f t="shared" si="14"/>
        <v>456.76312224630965</v>
      </c>
      <c r="M29" s="2"/>
      <c r="N29" s="6">
        <f t="shared" si="15"/>
        <v>0.11387259554161142</v>
      </c>
      <c r="O29" s="11"/>
      <c r="P29" s="7">
        <v>12091.22</v>
      </c>
      <c r="Q29" s="2"/>
      <c r="R29" s="6">
        <f t="shared" si="16"/>
        <v>5.3756789166427912E-2</v>
      </c>
      <c r="S29" s="2"/>
      <c r="T29" s="7">
        <v>12655.394676951</v>
      </c>
      <c r="U29" s="2"/>
      <c r="V29" s="6">
        <f t="shared" si="17"/>
        <v>5.5675830610637689E-2</v>
      </c>
      <c r="W29" s="2"/>
      <c r="X29" s="7">
        <f t="shared" si="18"/>
        <v>-564.17467695100095</v>
      </c>
      <c r="Y29" s="2"/>
      <c r="Z29" s="6">
        <f t="shared" si="19"/>
        <v>-4.457977734811544E-2</v>
      </c>
    </row>
    <row r="30" spans="1:26" s="24" customFormat="1" hidden="1" outlineLevel="2" x14ac:dyDescent="0.25">
      <c r="A30" s="29"/>
      <c r="B30" s="11" t="str">
        <f>CONCATENATE("          ", "6112", " - ", "COMPENSATION INSURANCE")</f>
        <v xml:space="preserve">          6112 - COMPENSATION INSURANCE</v>
      </c>
      <c r="C30" s="11"/>
      <c r="D30" s="7">
        <v>2250.73</v>
      </c>
      <c r="E30" s="2"/>
      <c r="F30" s="6">
        <f t="shared" si="12"/>
        <v>1.5386629459051686E-2</v>
      </c>
      <c r="G30" s="2"/>
      <c r="H30" s="7">
        <v>3302.2319462415398</v>
      </c>
      <c r="I30" s="2"/>
      <c r="J30" s="6">
        <f t="shared" si="13"/>
        <v>2.0479973866868062E-2</v>
      </c>
      <c r="K30" s="2"/>
      <c r="L30" s="7">
        <f t="shared" si="14"/>
        <v>-1051.5019462415398</v>
      </c>
      <c r="M30" s="2"/>
      <c r="N30" s="6">
        <f t="shared" si="15"/>
        <v>-0.31842158980937563</v>
      </c>
      <c r="O30" s="11"/>
      <c r="P30" s="7">
        <v>4982.1099999999997</v>
      </c>
      <c r="Q30" s="2"/>
      <c r="R30" s="6">
        <f t="shared" si="16"/>
        <v>2.2150141745328606E-2</v>
      </c>
      <c r="S30" s="2"/>
      <c r="T30" s="7">
        <v>8347.6700599300002</v>
      </c>
      <c r="U30" s="2"/>
      <c r="V30" s="6">
        <f t="shared" si="17"/>
        <v>3.6724533379952046E-2</v>
      </c>
      <c r="W30" s="2"/>
      <c r="X30" s="7">
        <f t="shared" si="18"/>
        <v>-3365.5600599300005</v>
      </c>
      <c r="Y30" s="2"/>
      <c r="Z30" s="6">
        <f t="shared" si="19"/>
        <v>-0.40317358445743634</v>
      </c>
    </row>
    <row r="31" spans="1:26" s="24" customFormat="1" hidden="1" outlineLevel="2" x14ac:dyDescent="0.25">
      <c r="A31" s="29"/>
      <c r="B31" s="11" t="str">
        <f>CONCATENATE("          ", "6113", " - ", "GROUP INSURANCE")</f>
        <v xml:space="preserve">          6113 - GROUP INSURANCE</v>
      </c>
      <c r="C31" s="11"/>
      <c r="D31" s="7">
        <v>12646.1</v>
      </c>
      <c r="E31" s="2"/>
      <c r="F31" s="6">
        <f t="shared" si="12"/>
        <v>8.6452330933569785E-2</v>
      </c>
      <c r="G31" s="2"/>
      <c r="H31" s="7">
        <v>15077.1538461538</v>
      </c>
      <c r="I31" s="2"/>
      <c r="J31" s="6">
        <f t="shared" si="13"/>
        <v>9.3506368354112454E-2</v>
      </c>
      <c r="K31" s="2"/>
      <c r="L31" s="7">
        <f t="shared" si="14"/>
        <v>-2431.0538461537999</v>
      </c>
      <c r="M31" s="2"/>
      <c r="N31" s="6">
        <f t="shared" si="15"/>
        <v>-0.16124089937398658</v>
      </c>
      <c r="O31" s="11"/>
      <c r="P31" s="7">
        <v>37149.78</v>
      </c>
      <c r="Q31" s="2"/>
      <c r="R31" s="6">
        <f t="shared" si="16"/>
        <v>0.16516554086677609</v>
      </c>
      <c r="S31" s="2"/>
      <c r="T31" s="7">
        <v>46670.5846153846</v>
      </c>
      <c r="U31" s="2"/>
      <c r="V31" s="6">
        <f t="shared" si="17"/>
        <v>0.20532141666652559</v>
      </c>
      <c r="W31" s="2"/>
      <c r="X31" s="7">
        <f t="shared" si="18"/>
        <v>-9520.8046153846008</v>
      </c>
      <c r="Y31" s="2"/>
      <c r="Z31" s="6">
        <f t="shared" si="19"/>
        <v>-0.20400011471564342</v>
      </c>
    </row>
    <row r="32" spans="1:26" s="24" customFormat="1" hidden="1" outlineLevel="2" x14ac:dyDescent="0.25">
      <c r="A32" s="29"/>
      <c r="B32" s="11" t="str">
        <f>CONCATENATE("          ", "6114", " - ", "STATE UNEMPLOYMENT INSURANCE")</f>
        <v xml:space="preserve">          6114 - STATE UNEMPLOYMENT INSURANCE</v>
      </c>
      <c r="C32" s="11"/>
      <c r="D32" s="7">
        <v>199.79</v>
      </c>
      <c r="E32" s="2"/>
      <c r="F32" s="6">
        <f t="shared" si="12"/>
        <v>1.3658211778507135E-3</v>
      </c>
      <c r="G32" s="2"/>
      <c r="H32" s="7">
        <v>182.973274066154</v>
      </c>
      <c r="I32" s="2"/>
      <c r="J32" s="6">
        <f t="shared" si="13"/>
        <v>1.1347742775837189E-3</v>
      </c>
      <c r="K32" s="2"/>
      <c r="L32" s="7">
        <f t="shared" si="14"/>
        <v>16.816725933845987</v>
      </c>
      <c r="M32" s="2"/>
      <c r="N32" s="6">
        <f t="shared" si="15"/>
        <v>9.1908099801317963E-2</v>
      </c>
      <c r="O32" s="11"/>
      <c r="P32" s="7">
        <v>458.17</v>
      </c>
      <c r="Q32" s="2"/>
      <c r="R32" s="6">
        <f t="shared" si="16"/>
        <v>2.0369944548508981E-3</v>
      </c>
      <c r="S32" s="2"/>
      <c r="T32" s="7">
        <v>462.53580806999997</v>
      </c>
      <c r="U32" s="2"/>
      <c r="V32" s="6">
        <f t="shared" si="17"/>
        <v>2.0348686041662084E-3</v>
      </c>
      <c r="W32" s="2"/>
      <c r="X32" s="7">
        <f t="shared" si="18"/>
        <v>-4.3658080699999573</v>
      </c>
      <c r="Y32" s="2"/>
      <c r="Z32" s="6">
        <f t="shared" si="19"/>
        <v>-9.4388542331823918E-3</v>
      </c>
    </row>
    <row r="33" spans="1:26" s="24" customFormat="1" hidden="1" outlineLevel="2" x14ac:dyDescent="0.25">
      <c r="A33" s="29"/>
      <c r="B33" s="11" t="str">
        <f>CONCATENATE("          ", "6115", " - ", "P.E.R.S.")</f>
        <v xml:space="preserve">          6115 - P.E.R.S.</v>
      </c>
      <c r="C33" s="11"/>
      <c r="D33" s="7">
        <v>3152.51</v>
      </c>
      <c r="E33" s="2"/>
      <c r="F33" s="6">
        <f t="shared" si="12"/>
        <v>2.1551453633245673E-2</v>
      </c>
      <c r="G33" s="2"/>
      <c r="H33" s="7">
        <v>2746.7421584615399</v>
      </c>
      <c r="I33" s="2"/>
      <c r="J33" s="6">
        <f t="shared" si="13"/>
        <v>1.7034905040011535E-2</v>
      </c>
      <c r="K33" s="2"/>
      <c r="L33" s="7">
        <f t="shared" si="14"/>
        <v>405.76784153846029</v>
      </c>
      <c r="M33" s="2"/>
      <c r="N33" s="6">
        <f t="shared" si="15"/>
        <v>0.14772695001183958</v>
      </c>
      <c r="O33" s="11"/>
      <c r="P33" s="7">
        <v>9294.0499999999993</v>
      </c>
      <c r="Q33" s="2"/>
      <c r="R33" s="6">
        <f t="shared" si="16"/>
        <v>4.1320750623364669E-2</v>
      </c>
      <c r="S33" s="2"/>
      <c r="T33" s="7">
        <v>8926.9120150000108</v>
      </c>
      <c r="U33" s="2"/>
      <c r="V33" s="6">
        <f t="shared" si="17"/>
        <v>3.9272836123270545E-2</v>
      </c>
      <c r="W33" s="2"/>
      <c r="X33" s="7">
        <f t="shared" si="18"/>
        <v>367.13798499998848</v>
      </c>
      <c r="Y33" s="2"/>
      <c r="Z33" s="6">
        <f t="shared" si="19"/>
        <v>4.112709796882523E-2</v>
      </c>
    </row>
    <row r="34" spans="1:26" s="24" customFormat="1" hidden="1" outlineLevel="2" x14ac:dyDescent="0.25">
      <c r="A34" s="29"/>
      <c r="B34" s="11" t="str">
        <f>CONCATENATE("          ", "6116", " - ", "EDUCATIONAL BENEFITS")</f>
        <v xml:space="preserve">          6116 - EDUCATIONAL BENEFITS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9"/>
      <c r="B35" s="11" t="str">
        <f>CONCATENATE("          ", "6118", " - ", "VACATION")</f>
        <v xml:space="preserve">          6118 - VACATION</v>
      </c>
      <c r="C35" s="11"/>
      <c r="D35" s="7">
        <v>2982.74</v>
      </c>
      <c r="E35" s="2"/>
      <c r="F35" s="6">
        <f t="shared" si="12"/>
        <v>2.0390857700697915E-2</v>
      </c>
      <c r="G35" s="2"/>
      <c r="H35" s="7">
        <v>2505.8659344615398</v>
      </c>
      <c r="I35" s="2"/>
      <c r="J35" s="6">
        <f t="shared" si="13"/>
        <v>1.5541024884717008E-2</v>
      </c>
      <c r="K35" s="2"/>
      <c r="L35" s="7">
        <f t="shared" si="14"/>
        <v>476.87406553845994</v>
      </c>
      <c r="M35" s="2"/>
      <c r="N35" s="6">
        <f t="shared" si="15"/>
        <v>0.19030310400102493</v>
      </c>
      <c r="O35" s="11"/>
      <c r="P35" s="7">
        <v>8911.18</v>
      </c>
      <c r="Q35" s="2"/>
      <c r="R35" s="6">
        <f t="shared" si="16"/>
        <v>3.9618535142366872E-2</v>
      </c>
      <c r="S35" s="2"/>
      <c r="T35" s="7">
        <v>8136.2756509999999</v>
      </c>
      <c r="U35" s="2"/>
      <c r="V35" s="6">
        <f t="shared" si="17"/>
        <v>3.5794530041134157E-2</v>
      </c>
      <c r="W35" s="2"/>
      <c r="X35" s="7">
        <f t="shared" si="18"/>
        <v>774.90434900000037</v>
      </c>
      <c r="Y35" s="2"/>
      <c r="Z35" s="6">
        <f t="shared" si="19"/>
        <v>9.5240670576931558E-2</v>
      </c>
    </row>
    <row r="36" spans="1:26" s="24" customFormat="1" hidden="1" outlineLevel="2" x14ac:dyDescent="0.25">
      <c r="A36" s="29"/>
      <c r="B36" s="11" t="str">
        <f>CONCATENATE("          ", "6119", " - ", "SICK LEAVE")</f>
        <v xml:space="preserve">          6119 - SICK LEAVE</v>
      </c>
      <c r="C36" s="11"/>
      <c r="D36" s="7">
        <v>1922.83</v>
      </c>
      <c r="E36" s="2"/>
      <c r="F36" s="6">
        <f t="shared" si="12"/>
        <v>1.3145011939569984E-2</v>
      </c>
      <c r="G36" s="2"/>
      <c r="H36" s="7">
        <v>1917.8040524615401</v>
      </c>
      <c r="I36" s="2"/>
      <c r="J36" s="6">
        <f t="shared" si="13"/>
        <v>1.1893948552247803E-2</v>
      </c>
      <c r="K36" s="2"/>
      <c r="L36" s="7">
        <f t="shared" si="14"/>
        <v>5.0259475384598318</v>
      </c>
      <c r="M36" s="2"/>
      <c r="N36" s="6">
        <f t="shared" si="15"/>
        <v>2.6206783388578866E-3</v>
      </c>
      <c r="O36" s="11"/>
      <c r="P36" s="7">
        <v>5733.27</v>
      </c>
      <c r="Q36" s="2"/>
      <c r="R36" s="6">
        <f t="shared" si="16"/>
        <v>2.5489750961789313E-2</v>
      </c>
      <c r="S36" s="2"/>
      <c r="T36" s="7">
        <v>4556.2766840000004</v>
      </c>
      <c r="U36" s="2"/>
      <c r="V36" s="6">
        <f t="shared" si="17"/>
        <v>2.0044771052110603E-2</v>
      </c>
      <c r="W36" s="2"/>
      <c r="X36" s="7">
        <f t="shared" si="18"/>
        <v>1176.993316</v>
      </c>
      <c r="Y36" s="2"/>
      <c r="Z36" s="6">
        <f t="shared" si="19"/>
        <v>0.25832349473709004</v>
      </c>
    </row>
    <row r="37" spans="1:26" s="24" customFormat="1" hidden="1" outlineLevel="2" x14ac:dyDescent="0.25">
      <c r="A37" s="29"/>
      <c r="B37" s="11" t="str">
        <f>CONCATENATE("          ", "6156", " - ", "EMPLOYEE MEALS")</f>
        <v xml:space="preserve">          6156 - EMPLOYEE MEALS</v>
      </c>
      <c r="C37" s="11"/>
      <c r="D37" s="7">
        <v>1195.8</v>
      </c>
      <c r="E37" s="2"/>
      <c r="F37" s="6">
        <f t="shared" si="12"/>
        <v>8.1748283921812062E-3</v>
      </c>
      <c r="G37" s="2"/>
      <c r="H37" s="7">
        <v>2121</v>
      </c>
      <c r="I37" s="2"/>
      <c r="J37" s="6">
        <f t="shared" si="13"/>
        <v>1.3154140980637798E-2</v>
      </c>
      <c r="K37" s="2"/>
      <c r="L37" s="7">
        <f t="shared" si="14"/>
        <v>-925.2</v>
      </c>
      <c r="M37" s="2"/>
      <c r="N37" s="6">
        <f t="shared" si="15"/>
        <v>-0.43620933521923622</v>
      </c>
      <c r="O37" s="11"/>
      <c r="P37" s="7">
        <v>3733.02</v>
      </c>
      <c r="Q37" s="2"/>
      <c r="R37" s="6">
        <f t="shared" si="16"/>
        <v>1.659676766232512E-2</v>
      </c>
      <c r="S37" s="2"/>
      <c r="T37" s="7">
        <v>5707</v>
      </c>
      <c r="U37" s="2"/>
      <c r="V37" s="6">
        <f t="shared" si="17"/>
        <v>2.510723477266228E-2</v>
      </c>
      <c r="W37" s="2"/>
      <c r="X37" s="7">
        <f t="shared" si="18"/>
        <v>-1973.98</v>
      </c>
      <c r="Y37" s="2"/>
      <c r="Z37" s="6">
        <f t="shared" si="19"/>
        <v>-0.34588750657087786</v>
      </c>
    </row>
    <row r="38" spans="1:26" s="28" customFormat="1" outlineLevel="1" collapsed="1" x14ac:dyDescent="0.25">
      <c r="A38" s="27"/>
      <c r="B38" s="14" t="str">
        <f>CONCATENATE("     ","*Payroll                                          ")</f>
        <v xml:space="preserve">     *Payroll                                          </v>
      </c>
      <c r="C38" s="14"/>
      <c r="D38" s="1">
        <f>SUM(OSRRefD22_1x_0)</f>
        <v>73219.69</v>
      </c>
      <c r="E38" s="1"/>
      <c r="F38" s="5">
        <f t="shared" ref="F38:F48" si="20">IF(D$12=0,0,D38/D$12)</f>
        <v>0.5005505943123485</v>
      </c>
      <c r="G38" s="1"/>
      <c r="H38" s="1">
        <f>SUM(OSRRefH22_1x_0)</f>
        <v>82793.531770769201</v>
      </c>
      <c r="I38" s="1"/>
      <c r="J38" s="5">
        <f t="shared" ref="J38:J48" si="21">IF(H$12=0,0,H38/H$12)</f>
        <v>0.51347373370938842</v>
      </c>
      <c r="K38" s="1"/>
      <c r="L38" s="1">
        <f t="shared" ref="L38:L48" si="22">+D38-H38</f>
        <v>-9573.8417707691988</v>
      </c>
      <c r="M38" s="1"/>
      <c r="N38" s="5">
        <f t="shared" ref="N38:N48" si="23">IF(H38=0,0,L38/H38)</f>
        <v>-0.11563514161077625</v>
      </c>
      <c r="O38" s="14"/>
      <c r="P38" s="1">
        <f>SUM(OSRRefP22_1x_0)</f>
        <v>188359.01</v>
      </c>
      <c r="Q38" s="1"/>
      <c r="R38" s="5">
        <f t="shared" ref="R38:R48" si="24">IF(P$12=0,0,P38/P$12)</f>
        <v>0.83743208610604125</v>
      </c>
      <c r="S38" s="1"/>
      <c r="T38" s="1">
        <f>SUM(OSRRefT22_1x_0)</f>
        <v>207741.40061499999</v>
      </c>
      <c r="U38" s="1"/>
      <c r="V38" s="5">
        <f t="shared" ref="V38:V48" si="25">IF(T$12=0,0,T38/T$12)</f>
        <v>0.91393238430742829</v>
      </c>
      <c r="W38" s="1"/>
      <c r="X38" s="1">
        <f t="shared" ref="X38:X48" si="26">+P38-T38</f>
        <v>-19382.390614999982</v>
      </c>
      <c r="Y38" s="1"/>
      <c r="Z38" s="5">
        <f t="shared" ref="Z38:Z48" si="27">IF(T38=0,0,X38/T38)</f>
        <v>-9.3300567713609964E-2</v>
      </c>
    </row>
    <row r="39" spans="1:26" s="24" customFormat="1" hidden="1" outlineLevel="2" x14ac:dyDescent="0.25">
      <c r="A39" s="29"/>
      <c r="B39" s="11" t="str">
        <f>CONCATENATE("          ", "6001", " - ", "ADMINISTRATIVE SALARIES")</f>
        <v xml:space="preserve">          6001 - ADMINISTRATIVE SALARIES</v>
      </c>
      <c r="C39" s="11"/>
      <c r="D39" s="7">
        <v>10515.82</v>
      </c>
      <c r="E39" s="2"/>
      <c r="F39" s="6">
        <f t="shared" si="20"/>
        <v>7.1889131880805285E-2</v>
      </c>
      <c r="G39" s="2"/>
      <c r="H39" s="7">
        <v>10268.307692307701</v>
      </c>
      <c r="I39" s="2"/>
      <c r="J39" s="6">
        <f t="shared" si="21"/>
        <v>6.3682586995371562E-2</v>
      </c>
      <c r="K39" s="2"/>
      <c r="L39" s="7">
        <f t="shared" si="22"/>
        <v>247.51230769229915</v>
      </c>
      <c r="M39" s="2"/>
      <c r="N39" s="6">
        <f t="shared" si="23"/>
        <v>2.4104488792999267E-2</v>
      </c>
      <c r="O39" s="11"/>
      <c r="P39" s="7">
        <v>33207.519999999997</v>
      </c>
      <c r="Q39" s="2"/>
      <c r="R39" s="6">
        <f t="shared" si="24"/>
        <v>0.14763850557511468</v>
      </c>
      <c r="S39" s="2"/>
      <c r="T39" s="7">
        <v>33372</v>
      </c>
      <c r="U39" s="2"/>
      <c r="V39" s="6">
        <f t="shared" si="25"/>
        <v>0.14681595213479687</v>
      </c>
      <c r="W39" s="2"/>
      <c r="X39" s="7">
        <f t="shared" si="26"/>
        <v>-164.4800000000032</v>
      </c>
      <c r="Y39" s="2"/>
      <c r="Z39" s="6">
        <f t="shared" si="27"/>
        <v>-4.9286827280355747E-3</v>
      </c>
    </row>
    <row r="40" spans="1:26" s="24" customFormat="1" hidden="1" outlineLevel="2" x14ac:dyDescent="0.25">
      <c r="A40" s="29"/>
      <c r="B40" s="11" t="str">
        <f>CONCATENATE("          ", "6002", " - ", "STAFF SALARIES")</f>
        <v xml:space="preserve">          6002 - STAFF SALARIES</v>
      </c>
      <c r="C40" s="11"/>
      <c r="D40" s="7">
        <v>19952.88</v>
      </c>
      <c r="E40" s="2"/>
      <c r="F40" s="6">
        <f t="shared" si="20"/>
        <v>0.13640355404731941</v>
      </c>
      <c r="G40" s="2"/>
      <c r="H40" s="7">
        <v>18954.873038461501</v>
      </c>
      <c r="I40" s="2"/>
      <c r="J40" s="6">
        <f t="shared" si="21"/>
        <v>0.11755543244602214</v>
      </c>
      <c r="K40" s="2"/>
      <c r="L40" s="7">
        <f t="shared" si="22"/>
        <v>998.00696153850004</v>
      </c>
      <c r="M40" s="2"/>
      <c r="N40" s="6">
        <f t="shared" si="23"/>
        <v>5.2651735493740068E-2</v>
      </c>
      <c r="O40" s="11"/>
      <c r="P40" s="7">
        <v>64485.35</v>
      </c>
      <c r="Q40" s="2"/>
      <c r="R40" s="6">
        <f t="shared" si="24"/>
        <v>0.28669773308841556</v>
      </c>
      <c r="S40" s="2"/>
      <c r="T40" s="7">
        <v>61603.337375000003</v>
      </c>
      <c r="U40" s="2"/>
      <c r="V40" s="6">
        <f t="shared" si="25"/>
        <v>0.27101620014957878</v>
      </c>
      <c r="W40" s="2"/>
      <c r="X40" s="7">
        <f t="shared" si="26"/>
        <v>2882.0126249999958</v>
      </c>
      <c r="Y40" s="2"/>
      <c r="Z40" s="6">
        <f t="shared" si="27"/>
        <v>4.6783384599055511E-2</v>
      </c>
    </row>
    <row r="41" spans="1:26" s="24" customFormat="1" hidden="1" outlineLevel="2" x14ac:dyDescent="0.25">
      <c r="A41" s="29"/>
      <c r="B41" s="11" t="str">
        <f>CONCATENATE("          ", "6003", " - ", "STAFF HOURLY-9 MONTH")</f>
        <v xml:space="preserve">          6003 - STAFF HOURLY-9 MONTH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9"/>
      <c r="B42" s="11" t="str">
        <f>CONCATENATE("          ", "6004", " - ", "STAFF HOURLY")</f>
        <v xml:space="preserve">          6004 - STAFF HOURLY</v>
      </c>
      <c r="C42" s="11"/>
      <c r="D42" s="7">
        <v>9010.67</v>
      </c>
      <c r="E42" s="2"/>
      <c r="F42" s="6">
        <f t="shared" si="20"/>
        <v>6.1599499037109408E-2</v>
      </c>
      <c r="G42" s="2"/>
      <c r="H42" s="7">
        <v>18441.686040000001</v>
      </c>
      <c r="I42" s="2"/>
      <c r="J42" s="6">
        <f t="shared" si="21"/>
        <v>0.11437271951476663</v>
      </c>
      <c r="K42" s="2"/>
      <c r="L42" s="7">
        <f t="shared" si="22"/>
        <v>-9431.0160400000004</v>
      </c>
      <c r="M42" s="2"/>
      <c r="N42" s="6">
        <f t="shared" si="23"/>
        <v>-0.51139662716001866</v>
      </c>
      <c r="O42" s="11"/>
      <c r="P42" s="7">
        <v>24738.03</v>
      </c>
      <c r="Q42" s="2"/>
      <c r="R42" s="6">
        <f t="shared" si="24"/>
        <v>0.1099836958638391</v>
      </c>
      <c r="S42" s="2"/>
      <c r="T42" s="7">
        <v>51601.758240000003</v>
      </c>
      <c r="U42" s="2"/>
      <c r="V42" s="6">
        <f t="shared" si="25"/>
        <v>0.22701550005499221</v>
      </c>
      <c r="W42" s="2"/>
      <c r="X42" s="7">
        <f t="shared" si="26"/>
        <v>-26863.728240000004</v>
      </c>
      <c r="Y42" s="2"/>
      <c r="Z42" s="6">
        <f t="shared" si="27"/>
        <v>-0.52059714932690249</v>
      </c>
    </row>
    <row r="43" spans="1:26" s="24" customFormat="1" hidden="1" outlineLevel="2" x14ac:dyDescent="0.25">
      <c r="A43" s="29"/>
      <c r="B43" s="11" t="str">
        <f>CONCATENATE("          ", "6005", " - ", "TEMPORARY WAGES-HOURLY")</f>
        <v xml:space="preserve">          6005 - TEMPORARY WAGES-HOURLY</v>
      </c>
      <c r="C43" s="11"/>
      <c r="D43" s="7">
        <v>16568.47</v>
      </c>
      <c r="E43" s="2"/>
      <c r="F43" s="6">
        <f t="shared" si="20"/>
        <v>0.11326676615738632</v>
      </c>
      <c r="G43" s="2"/>
      <c r="H43" s="7">
        <v>11698.2</v>
      </c>
      <c r="I43" s="2"/>
      <c r="J43" s="6">
        <f t="shared" si="21"/>
        <v>7.2550576152615329E-2</v>
      </c>
      <c r="K43" s="2"/>
      <c r="L43" s="7">
        <f t="shared" si="22"/>
        <v>4870.2700000000004</v>
      </c>
      <c r="M43" s="2"/>
      <c r="N43" s="6">
        <f t="shared" si="23"/>
        <v>0.41632644338445229</v>
      </c>
      <c r="O43" s="11"/>
      <c r="P43" s="7">
        <v>30140.22</v>
      </c>
      <c r="Q43" s="2"/>
      <c r="R43" s="6">
        <f t="shared" si="24"/>
        <v>0.13400148636529266</v>
      </c>
      <c r="S43" s="2"/>
      <c r="T43" s="7">
        <v>23274.18</v>
      </c>
      <c r="U43" s="2"/>
      <c r="V43" s="6">
        <f t="shared" si="25"/>
        <v>0.10239185235696531</v>
      </c>
      <c r="W43" s="2"/>
      <c r="X43" s="7">
        <f t="shared" si="26"/>
        <v>6866.0400000000009</v>
      </c>
      <c r="Y43" s="2"/>
      <c r="Z43" s="6">
        <f t="shared" si="27"/>
        <v>0.2950067413760657</v>
      </c>
    </row>
    <row r="44" spans="1:26" s="24" customFormat="1" hidden="1" outlineLevel="2" x14ac:dyDescent="0.25">
      <c r="A44" s="29"/>
      <c r="B44" s="11" t="str">
        <f>CONCATENATE("          ", "6006", " - ", "TEMPORARY PART TIME")</f>
        <v xml:space="preserve">          6006 - TEMPORARY PART TIME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9"/>
      <c r="B45" s="11" t="str">
        <f>CONCATENATE("          ", "6007", " - ", "STUDENT HOURLY")</f>
        <v xml:space="preserve">          6007 - STUDENT HOURLY</v>
      </c>
      <c r="C45" s="11"/>
      <c r="D45" s="7">
        <v>17171.849999999999</v>
      </c>
      <c r="E45" s="2"/>
      <c r="F45" s="6">
        <f t="shared" si="20"/>
        <v>0.11739164318972807</v>
      </c>
      <c r="G45" s="2"/>
      <c r="H45" s="7">
        <v>1323.08</v>
      </c>
      <c r="I45" s="2"/>
      <c r="J45" s="6">
        <f t="shared" si="21"/>
        <v>8.2055543840934744E-3</v>
      </c>
      <c r="K45" s="2"/>
      <c r="L45" s="7">
        <f t="shared" si="22"/>
        <v>15848.769999999999</v>
      </c>
      <c r="M45" s="2"/>
      <c r="N45" s="6">
        <f t="shared" si="23"/>
        <v>11.978693654200804</v>
      </c>
      <c r="O45" s="11"/>
      <c r="P45" s="7">
        <v>35787.89</v>
      </c>
      <c r="Q45" s="2"/>
      <c r="R45" s="6">
        <f t="shared" si="24"/>
        <v>0.15911066521337913</v>
      </c>
      <c r="S45" s="2"/>
      <c r="T45" s="7">
        <v>7691.79</v>
      </c>
      <c r="U45" s="2"/>
      <c r="V45" s="6">
        <f t="shared" si="25"/>
        <v>3.3839070851939025E-2</v>
      </c>
      <c r="W45" s="2"/>
      <c r="X45" s="7">
        <f t="shared" si="26"/>
        <v>28096.1</v>
      </c>
      <c r="Y45" s="2"/>
      <c r="Z45" s="6">
        <f t="shared" si="27"/>
        <v>3.6527388293232135</v>
      </c>
    </row>
    <row r="46" spans="1:26" s="24" customFormat="1" hidden="1" outlineLevel="2" x14ac:dyDescent="0.25">
      <c r="A46" s="29"/>
      <c r="B46" s="11" t="str">
        <f>CONCATENATE("          ", "6008", " - ", "STUDENT HOURLY-FICA EXEMPT")</f>
        <v xml:space="preserve">          6008 - STUDENT HOURLY-FICA EXEMPT</v>
      </c>
      <c r="C46" s="11"/>
      <c r="D46" s="7"/>
      <c r="E46" s="2"/>
      <c r="F46" s="6">
        <f t="shared" si="20"/>
        <v>0</v>
      </c>
      <c r="G46" s="2"/>
      <c r="H46" s="7">
        <v>22107.384999999998</v>
      </c>
      <c r="I46" s="2"/>
      <c r="J46" s="6">
        <f t="shared" si="21"/>
        <v>0.13710686421651927</v>
      </c>
      <c r="K46" s="2"/>
      <c r="L46" s="7">
        <f t="shared" si="22"/>
        <v>-22107.384999999998</v>
      </c>
      <c r="M46" s="2"/>
      <c r="N46" s="6">
        <f t="shared" si="23"/>
        <v>-1</v>
      </c>
      <c r="O46" s="11"/>
      <c r="P46" s="7"/>
      <c r="Q46" s="2"/>
      <c r="R46" s="6">
        <f t="shared" si="24"/>
        <v>0</v>
      </c>
      <c r="S46" s="2"/>
      <c r="T46" s="7">
        <v>30198.334999999999</v>
      </c>
      <c r="U46" s="2"/>
      <c r="V46" s="6">
        <f t="shared" si="25"/>
        <v>0.1328538087591562</v>
      </c>
      <c r="W46" s="2"/>
      <c r="X46" s="7">
        <f t="shared" si="26"/>
        <v>-30198.334999999999</v>
      </c>
      <c r="Y46" s="2"/>
      <c r="Z46" s="6">
        <f t="shared" si="27"/>
        <v>-1</v>
      </c>
    </row>
    <row r="47" spans="1:26" s="24" customFormat="1" hidden="1" outlineLevel="2" x14ac:dyDescent="0.25">
      <c r="A47" s="29"/>
      <c r="B47" s="11" t="str">
        <f>CONCATENATE("          ", "6009", " - ", "TEMPORARY-SEASONAL")</f>
        <v xml:space="preserve">          6009 - TEMPORARY-SEASONAL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4" customFormat="1" hidden="1" outlineLevel="2" x14ac:dyDescent="0.25">
      <c r="A48" s="29"/>
      <c r="B48" s="11" t="str">
        <f>CONCATENATE("          ", "6010", " - ", "GRATUITY")</f>
        <v xml:space="preserve">          6010 - GRATUITY</v>
      </c>
      <c r="C48" s="11"/>
      <c r="D48" s="7"/>
      <c r="E48" s="2"/>
      <c r="F48" s="6">
        <f t="shared" si="20"/>
        <v>0</v>
      </c>
      <c r="G48" s="2"/>
      <c r="H48" s="7">
        <v>0</v>
      </c>
      <c r="I48" s="2"/>
      <c r="J48" s="6">
        <f t="shared" si="21"/>
        <v>0</v>
      </c>
      <c r="K48" s="2"/>
      <c r="L48" s="7">
        <f t="shared" si="22"/>
        <v>0</v>
      </c>
      <c r="M48" s="2"/>
      <c r="N48" s="6">
        <f t="shared" si="23"/>
        <v>0</v>
      </c>
      <c r="O48" s="11"/>
      <c r="P48" s="7"/>
      <c r="Q48" s="2"/>
      <c r="R48" s="6">
        <f t="shared" si="24"/>
        <v>0</v>
      </c>
      <c r="S48" s="2"/>
      <c r="T48" s="7">
        <v>0</v>
      </c>
      <c r="U48" s="2"/>
      <c r="V48" s="6">
        <f t="shared" si="25"/>
        <v>0</v>
      </c>
      <c r="W48" s="2"/>
      <c r="X48" s="7">
        <f t="shared" si="26"/>
        <v>0</v>
      </c>
      <c r="Y48" s="2"/>
      <c r="Z48" s="6">
        <f t="shared" si="27"/>
        <v>0</v>
      </c>
    </row>
    <row r="49" spans="1:26" s="28" customFormat="1" outlineLevel="1" collapsed="1" x14ac:dyDescent="0.25">
      <c r="A49" s="27"/>
      <c r="B49" s="14" t="str">
        <f>CONCATENATE("     ","Advertising/Promo                                 ")</f>
        <v xml:space="preserve">     Advertising/Promo                                 </v>
      </c>
      <c r="C49" s="14"/>
      <c r="D49" s="1">
        <f>SUM(OSRRefD22_2x_0)</f>
        <v>200.77</v>
      </c>
      <c r="E49" s="1"/>
      <c r="F49" s="5">
        <f t="shared" ref="F49:F57" si="28">IF(D$12=0,0,D49/D$12)</f>
        <v>1.3725207361584052E-3</v>
      </c>
      <c r="G49" s="1"/>
      <c r="H49" s="1">
        <f>SUM(OSRRefH22_2x_0)</f>
        <v>0</v>
      </c>
      <c r="I49" s="1"/>
      <c r="J49" s="5">
        <f t="shared" ref="J49:J57" si="29">IF(H$12=0,0,H49/H$12)</f>
        <v>0</v>
      </c>
      <c r="K49" s="1"/>
      <c r="L49" s="1">
        <f t="shared" ref="L49:L57" si="30">+D49-H49</f>
        <v>200.77</v>
      </c>
      <c r="M49" s="1"/>
      <c r="N49" s="5">
        <f t="shared" ref="N49:N57" si="31">IF(H49=0,0,L49/H49)</f>
        <v>0</v>
      </c>
      <c r="O49" s="14"/>
      <c r="P49" s="1">
        <f>SUM(OSRRefP22_2x_0)</f>
        <v>761.03</v>
      </c>
      <c r="Q49" s="1"/>
      <c r="R49" s="5">
        <f t="shared" ref="R49:R57" si="32">IF(P$12=0,0,P49/P$12)</f>
        <v>3.3834906038701334E-3</v>
      </c>
      <c r="S49" s="1"/>
      <c r="T49" s="1">
        <f>SUM(OSRRefT22_2x_0)</f>
        <v>0</v>
      </c>
      <c r="U49" s="1"/>
      <c r="V49" s="5">
        <f t="shared" ref="V49:V57" si="33">IF(T$12=0,0,T49/T$12)</f>
        <v>0</v>
      </c>
      <c r="W49" s="1"/>
      <c r="X49" s="1">
        <f t="shared" ref="X49:X57" si="34">+P49-T49</f>
        <v>761.03</v>
      </c>
      <c r="Y49" s="1"/>
      <c r="Z49" s="5">
        <f t="shared" ref="Z49:Z57" si="35">IF(T49=0,0,X49/T49)</f>
        <v>0</v>
      </c>
    </row>
    <row r="50" spans="1:26" s="24" customFormat="1" hidden="1" outlineLevel="2" x14ac:dyDescent="0.25">
      <c r="A50" s="29"/>
      <c r="B50" s="11" t="str">
        <f>CONCATENATE("          ", "6362", " - ", "ADVERTISING EXPENSE")</f>
        <v xml:space="preserve">          6362 - ADVERTISING EXPENSE</v>
      </c>
      <c r="C50" s="11"/>
      <c r="D50" s="7">
        <v>200.77</v>
      </c>
      <c r="E50" s="2"/>
      <c r="F50" s="6">
        <f t="shared" si="28"/>
        <v>1.3725207361584052E-3</v>
      </c>
      <c r="G50" s="2"/>
      <c r="H50" s="7"/>
      <c r="I50" s="2"/>
      <c r="J50" s="6">
        <f t="shared" si="29"/>
        <v>0</v>
      </c>
      <c r="K50" s="2"/>
      <c r="L50" s="7">
        <f t="shared" si="30"/>
        <v>200.77</v>
      </c>
      <c r="M50" s="2"/>
      <c r="N50" s="6">
        <f t="shared" si="31"/>
        <v>0</v>
      </c>
      <c r="O50" s="11"/>
      <c r="P50" s="7">
        <v>761.03</v>
      </c>
      <c r="Q50" s="2"/>
      <c r="R50" s="6">
        <f t="shared" si="32"/>
        <v>3.3834906038701334E-3</v>
      </c>
      <c r="S50" s="2"/>
      <c r="T50" s="7">
        <v>0</v>
      </c>
      <c r="U50" s="2"/>
      <c r="V50" s="6">
        <f t="shared" si="33"/>
        <v>0</v>
      </c>
      <c r="W50" s="2"/>
      <c r="X50" s="7">
        <f t="shared" si="34"/>
        <v>761.03</v>
      </c>
      <c r="Y50" s="2"/>
      <c r="Z50" s="6">
        <f t="shared" si="35"/>
        <v>0</v>
      </c>
    </row>
    <row r="51" spans="1:26" s="28" customFormat="1" outlineLevel="1" collapsed="1" x14ac:dyDescent="0.25">
      <c r="A51" s="27"/>
      <c r="B51" s="14" t="str">
        <f>CONCATENATE("     ","Bad Debts/Over/Short                              ")</f>
        <v xml:space="preserve">     Bad Debts/Over/Short                              </v>
      </c>
      <c r="C51" s="14"/>
      <c r="D51" s="1">
        <f>SUM(OSRRefD22_3x_0)</f>
        <v>7.74</v>
      </c>
      <c r="E51" s="1"/>
      <c r="F51" s="5">
        <f t="shared" si="28"/>
        <v>5.2912838062788536E-5</v>
      </c>
      <c r="G51" s="1"/>
      <c r="H51" s="1">
        <f>SUM(OSRRefH22_3x_0)</f>
        <v>10</v>
      </c>
      <c r="I51" s="1"/>
      <c r="J51" s="5">
        <f t="shared" si="29"/>
        <v>6.2018580766797732E-5</v>
      </c>
      <c r="K51" s="1"/>
      <c r="L51" s="1">
        <f t="shared" si="30"/>
        <v>-2.2599999999999998</v>
      </c>
      <c r="M51" s="1"/>
      <c r="N51" s="5">
        <f t="shared" si="31"/>
        <v>-0.22599999999999998</v>
      </c>
      <c r="O51" s="14"/>
      <c r="P51" s="1">
        <f>SUM(OSRRefP22_3x_0)</f>
        <v>-100.8</v>
      </c>
      <c r="Q51" s="1"/>
      <c r="R51" s="5">
        <f t="shared" si="32"/>
        <v>-4.4815033950055774E-4</v>
      </c>
      <c r="S51" s="1"/>
      <c r="T51" s="1">
        <f>SUM(OSRRefT22_3x_0)</f>
        <v>30</v>
      </c>
      <c r="U51" s="1"/>
      <c r="V51" s="5">
        <f t="shared" si="33"/>
        <v>1.3198125866127009E-4</v>
      </c>
      <c r="W51" s="1"/>
      <c r="X51" s="1">
        <f t="shared" si="34"/>
        <v>-130.80000000000001</v>
      </c>
      <c r="Y51" s="1"/>
      <c r="Z51" s="5">
        <f t="shared" si="35"/>
        <v>-4.3600000000000003</v>
      </c>
    </row>
    <row r="52" spans="1:26" s="24" customFormat="1" hidden="1" outlineLevel="2" x14ac:dyDescent="0.25">
      <c r="A52" s="29"/>
      <c r="B52" s="11" t="str">
        <f>CONCATENATE("          ", "6272", " - ", "CASH (OVER/SHORT)")</f>
        <v xml:space="preserve">          6272 - CASH (OVER/SHORT)</v>
      </c>
      <c r="C52" s="11"/>
      <c r="D52" s="7">
        <v>7.74</v>
      </c>
      <c r="E52" s="2"/>
      <c r="F52" s="6">
        <f t="shared" si="28"/>
        <v>5.2912838062788536E-5</v>
      </c>
      <c r="G52" s="2"/>
      <c r="H52" s="7">
        <v>10</v>
      </c>
      <c r="I52" s="2"/>
      <c r="J52" s="6">
        <f t="shared" si="29"/>
        <v>6.2018580766797732E-5</v>
      </c>
      <c r="K52" s="2"/>
      <c r="L52" s="7">
        <f t="shared" si="30"/>
        <v>-2.2599999999999998</v>
      </c>
      <c r="M52" s="2"/>
      <c r="N52" s="6">
        <f t="shared" si="31"/>
        <v>-0.22599999999999998</v>
      </c>
      <c r="O52" s="11"/>
      <c r="P52" s="7">
        <v>-100.8</v>
      </c>
      <c r="Q52" s="2"/>
      <c r="R52" s="6">
        <f t="shared" si="32"/>
        <v>-4.4815033950055774E-4</v>
      </c>
      <c r="S52" s="2"/>
      <c r="T52" s="7">
        <v>30</v>
      </c>
      <c r="U52" s="2"/>
      <c r="V52" s="6">
        <f t="shared" si="33"/>
        <v>1.3198125866127009E-4</v>
      </c>
      <c r="W52" s="2"/>
      <c r="X52" s="7">
        <f t="shared" si="34"/>
        <v>-130.80000000000001</v>
      </c>
      <c r="Y52" s="2"/>
      <c r="Z52" s="6">
        <f t="shared" si="35"/>
        <v>-4.3600000000000003</v>
      </c>
    </row>
    <row r="53" spans="1:26" s="28" customFormat="1" outlineLevel="1" collapsed="1" x14ac:dyDescent="0.25">
      <c r="A53" s="27"/>
      <c r="B53" s="14" t="str">
        <f>CONCATENATE("     ","Bank/card Fees                                    ")</f>
        <v xml:space="preserve">     Bank/card Fees                                    </v>
      </c>
      <c r="C53" s="14"/>
      <c r="D53" s="1">
        <f>SUM(OSRRefD22_4x_0)</f>
        <v>5813.93</v>
      </c>
      <c r="E53" s="1"/>
      <c r="F53" s="5">
        <f t="shared" si="28"/>
        <v>3.9745676563099248E-2</v>
      </c>
      <c r="G53" s="1"/>
      <c r="H53" s="1">
        <f>SUM(OSRRefH22_4x_0)</f>
        <v>7573.5</v>
      </c>
      <c r="I53" s="1"/>
      <c r="J53" s="5">
        <f t="shared" si="29"/>
        <v>4.6969772143734261E-2</v>
      </c>
      <c r="K53" s="1"/>
      <c r="L53" s="1">
        <f t="shared" si="30"/>
        <v>-1759.5699999999997</v>
      </c>
      <c r="M53" s="1"/>
      <c r="N53" s="5">
        <f t="shared" si="31"/>
        <v>-0.23233247507757307</v>
      </c>
      <c r="O53" s="14"/>
      <c r="P53" s="1">
        <f>SUM(OSRRefP22_4x_0)</f>
        <v>9583.67</v>
      </c>
      <c r="Q53" s="1"/>
      <c r="R53" s="5">
        <f t="shared" si="32"/>
        <v>4.260838258096538E-2</v>
      </c>
      <c r="S53" s="1"/>
      <c r="T53" s="1">
        <f>SUM(OSRRefT22_4x_0)</f>
        <v>12034.75</v>
      </c>
      <c r="U53" s="1"/>
      <c r="V53" s="5">
        <f t="shared" si="33"/>
        <v>5.294538175579068E-2</v>
      </c>
      <c r="W53" s="1"/>
      <c r="X53" s="1">
        <f t="shared" si="34"/>
        <v>-2451.08</v>
      </c>
      <c r="Y53" s="1"/>
      <c r="Z53" s="5">
        <f t="shared" si="35"/>
        <v>-0.20366688132283595</v>
      </c>
    </row>
    <row r="54" spans="1:26" s="24" customFormat="1" hidden="1" outlineLevel="2" x14ac:dyDescent="0.25">
      <c r="A54" s="29"/>
      <c r="B54" s="11" t="str">
        <f>CONCATENATE("          ", "6381", " - ", "BANK/CREDIT CARD FEES")</f>
        <v xml:space="preserve">          6381 - BANK/CREDIT CARD FEES</v>
      </c>
      <c r="C54" s="11"/>
      <c r="D54" s="7">
        <v>5813.93</v>
      </c>
      <c r="E54" s="2"/>
      <c r="F54" s="6">
        <f t="shared" si="28"/>
        <v>3.9745676563099248E-2</v>
      </c>
      <c r="G54" s="2"/>
      <c r="H54" s="7">
        <v>7573.5</v>
      </c>
      <c r="I54" s="2"/>
      <c r="J54" s="6">
        <f t="shared" si="29"/>
        <v>4.6969772143734261E-2</v>
      </c>
      <c r="K54" s="2"/>
      <c r="L54" s="7">
        <f t="shared" si="30"/>
        <v>-1759.5699999999997</v>
      </c>
      <c r="M54" s="2"/>
      <c r="N54" s="6">
        <f t="shared" si="31"/>
        <v>-0.23233247507757307</v>
      </c>
      <c r="O54" s="11"/>
      <c r="P54" s="7">
        <v>9583.67</v>
      </c>
      <c r="Q54" s="2"/>
      <c r="R54" s="6">
        <f t="shared" si="32"/>
        <v>4.260838258096538E-2</v>
      </c>
      <c r="S54" s="2"/>
      <c r="T54" s="7">
        <v>12034.75</v>
      </c>
      <c r="U54" s="2"/>
      <c r="V54" s="6">
        <f t="shared" si="33"/>
        <v>5.294538175579068E-2</v>
      </c>
      <c r="W54" s="2"/>
      <c r="X54" s="7">
        <f t="shared" si="34"/>
        <v>-2451.08</v>
      </c>
      <c r="Y54" s="2"/>
      <c r="Z54" s="6">
        <f t="shared" si="35"/>
        <v>-0.20366688132283595</v>
      </c>
    </row>
    <row r="55" spans="1:26" s="28" customFormat="1" outlineLevel="1" collapsed="1" x14ac:dyDescent="0.25">
      <c r="A55" s="27"/>
      <c r="B55" s="14" t="str">
        <f>CONCATENATE("     ","Depreciation                                      ")</f>
        <v xml:space="preserve">     Depreciation                                      </v>
      </c>
      <c r="C55" s="14"/>
      <c r="D55" s="1">
        <f>SUM(OSRRefD22_5x_0)</f>
        <v>39917.57</v>
      </c>
      <c r="E55" s="1"/>
      <c r="F55" s="5">
        <f t="shared" si="28"/>
        <v>0.27288784460853049</v>
      </c>
      <c r="G55" s="1"/>
      <c r="H55" s="1">
        <f>SUM(OSRRefH22_5x_0)</f>
        <v>39917</v>
      </c>
      <c r="I55" s="1"/>
      <c r="J55" s="5">
        <f t="shared" si="29"/>
        <v>0.24755956884682651</v>
      </c>
      <c r="K55" s="1"/>
      <c r="L55" s="1">
        <f t="shared" si="30"/>
        <v>0.56999999999970896</v>
      </c>
      <c r="M55" s="1"/>
      <c r="N55" s="5">
        <f t="shared" si="31"/>
        <v>1.4279630232725629E-5</v>
      </c>
      <c r="O55" s="14"/>
      <c r="P55" s="1">
        <f>SUM(OSRRefP22_5x_0)</f>
        <v>119840.87</v>
      </c>
      <c r="Q55" s="1"/>
      <c r="R55" s="5">
        <f t="shared" si="32"/>
        <v>0.53280482714823618</v>
      </c>
      <c r="S55" s="1"/>
      <c r="T55" s="1">
        <f>SUM(OSRRefT22_5x_0)</f>
        <v>119839</v>
      </c>
      <c r="U55" s="1"/>
      <c r="V55" s="5">
        <f t="shared" si="33"/>
        <v>0.52721673522359824</v>
      </c>
      <c r="W55" s="1"/>
      <c r="X55" s="1">
        <f t="shared" si="34"/>
        <v>1.8699999999953434</v>
      </c>
      <c r="Y55" s="1"/>
      <c r="Z55" s="5">
        <f t="shared" si="35"/>
        <v>1.5604269060951306E-5</v>
      </c>
    </row>
    <row r="56" spans="1:26" s="24" customFormat="1" hidden="1" outlineLevel="2" x14ac:dyDescent="0.25">
      <c r="A56" s="29"/>
      <c r="B56" s="11" t="str">
        <f>CONCATENATE("          ", "6321", " - ", "BUILDING DEPRECIATION")</f>
        <v xml:space="preserve">          6321 - BUILDING DEPRECIATION</v>
      </c>
      <c r="C56" s="11"/>
      <c r="D56" s="7">
        <v>28619.91</v>
      </c>
      <c r="E56" s="2"/>
      <c r="F56" s="6">
        <f t="shared" si="28"/>
        <v>0.1956538324549848</v>
      </c>
      <c r="G56" s="2"/>
      <c r="H56" s="7"/>
      <c r="I56" s="2"/>
      <c r="J56" s="6">
        <f t="shared" si="29"/>
        <v>0</v>
      </c>
      <c r="K56" s="2"/>
      <c r="L56" s="7">
        <f t="shared" si="30"/>
        <v>28619.91</v>
      </c>
      <c r="M56" s="2"/>
      <c r="N56" s="6">
        <f t="shared" si="31"/>
        <v>0</v>
      </c>
      <c r="O56" s="11"/>
      <c r="P56" s="7">
        <v>85947.87</v>
      </c>
      <c r="Q56" s="2"/>
      <c r="R56" s="6">
        <f t="shared" si="32"/>
        <v>0.38211872142708136</v>
      </c>
      <c r="S56" s="2"/>
      <c r="T56" s="7"/>
      <c r="U56" s="2"/>
      <c r="V56" s="6">
        <f t="shared" si="33"/>
        <v>0</v>
      </c>
      <c r="W56" s="2"/>
      <c r="X56" s="7">
        <f t="shared" si="34"/>
        <v>85947.87</v>
      </c>
      <c r="Y56" s="2"/>
      <c r="Z56" s="6">
        <f t="shared" si="35"/>
        <v>0</v>
      </c>
    </row>
    <row r="57" spans="1:26" s="24" customFormat="1" hidden="1" outlineLevel="2" x14ac:dyDescent="0.25">
      <c r="A57" s="29"/>
      <c r="B57" s="11" t="str">
        <f>CONCATENATE("          ", "6322", " - ", "EQUIPMENT DEPRECIATION EXPENSE")</f>
        <v xml:space="preserve">          6322 - EQUIPMENT DEPRECIATION EXPENSE</v>
      </c>
      <c r="C57" s="11"/>
      <c r="D57" s="7">
        <v>11297.66</v>
      </c>
      <c r="E57" s="2"/>
      <c r="F57" s="6">
        <f t="shared" si="28"/>
        <v>7.7234012153545681E-2</v>
      </c>
      <c r="G57" s="2"/>
      <c r="H57" s="7">
        <v>39917</v>
      </c>
      <c r="I57" s="2"/>
      <c r="J57" s="6">
        <f t="shared" si="29"/>
        <v>0.24755956884682651</v>
      </c>
      <c r="K57" s="2"/>
      <c r="L57" s="7">
        <f t="shared" si="30"/>
        <v>-28619.34</v>
      </c>
      <c r="M57" s="2"/>
      <c r="N57" s="6">
        <f t="shared" si="31"/>
        <v>-0.71697121527168872</v>
      </c>
      <c r="O57" s="11"/>
      <c r="P57" s="7">
        <v>33893</v>
      </c>
      <c r="Q57" s="2"/>
      <c r="R57" s="6">
        <f t="shared" si="32"/>
        <v>0.15068610572115479</v>
      </c>
      <c r="S57" s="2"/>
      <c r="T57" s="7">
        <v>119839</v>
      </c>
      <c r="U57" s="2"/>
      <c r="V57" s="6">
        <f t="shared" si="33"/>
        <v>0.52721673522359824</v>
      </c>
      <c r="W57" s="2"/>
      <c r="X57" s="7">
        <f t="shared" si="34"/>
        <v>-85946</v>
      </c>
      <c r="Y57" s="2"/>
      <c r="Z57" s="6">
        <f t="shared" si="35"/>
        <v>-0.71717888166623556</v>
      </c>
    </row>
    <row r="58" spans="1:26" s="28" customFormat="1" outlineLevel="1" collapsed="1" x14ac:dyDescent="0.25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SUM(OSRRefD22_6x_0)</f>
        <v>0</v>
      </c>
      <c r="E58" s="1"/>
      <c r="F58" s="5">
        <f t="shared" ref="F58:F73" si="36">IF(D$12=0,0,D58/D$12)</f>
        <v>0</v>
      </c>
      <c r="G58" s="1"/>
      <c r="H58" s="1">
        <f>SUM(OSRRefH22_6x_0)</f>
        <v>0</v>
      </c>
      <c r="I58" s="1"/>
      <c r="J58" s="5">
        <f t="shared" ref="J58:J73" si="37">IF(H$12=0,0,H58/H$12)</f>
        <v>0</v>
      </c>
      <c r="K58" s="1"/>
      <c r="L58" s="1">
        <f t="shared" ref="L58:L73" si="38">+D58-H58</f>
        <v>0</v>
      </c>
      <c r="M58" s="1"/>
      <c r="N58" s="5">
        <f t="shared" ref="N58:N73" si="39">IF(H58=0,0,L58/H58)</f>
        <v>0</v>
      </c>
      <c r="O58" s="14"/>
      <c r="P58" s="1">
        <f>SUM(OSRRefP22_6x_0)</f>
        <v>18</v>
      </c>
      <c r="Q58" s="1"/>
      <c r="R58" s="5">
        <f t="shared" ref="R58:R73" si="40">IF(P$12=0,0,P58/P$12)</f>
        <v>8.0026846339385316E-5</v>
      </c>
      <c r="S58" s="1"/>
      <c r="T58" s="1">
        <f>SUM(OSRRefT22_6x_0)</f>
        <v>40</v>
      </c>
      <c r="U58" s="1"/>
      <c r="V58" s="5">
        <f t="shared" ref="V58:V73" si="41">IF(T$12=0,0,T58/T$12)</f>
        <v>1.7597501154836012E-4</v>
      </c>
      <c r="W58" s="1"/>
      <c r="X58" s="1">
        <f t="shared" ref="X58:X73" si="42">+P58-T58</f>
        <v>-22</v>
      </c>
      <c r="Y58" s="1"/>
      <c r="Z58" s="5">
        <f t="shared" ref="Z58:Z73" si="43">IF(T58=0,0,X58/T58)</f>
        <v>-0.55000000000000004</v>
      </c>
    </row>
    <row r="59" spans="1:26" s="24" customFormat="1" hidden="1" outlineLevel="2" x14ac:dyDescent="0.25">
      <c r="A59" s="29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36"/>
        <v>0</v>
      </c>
      <c r="G59" s="2"/>
      <c r="H59" s="7"/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>
        <v>18</v>
      </c>
      <c r="Q59" s="2"/>
      <c r="R59" s="6">
        <f t="shared" si="40"/>
        <v>8.0026846339385316E-5</v>
      </c>
      <c r="S59" s="2"/>
      <c r="T59" s="7">
        <v>40</v>
      </c>
      <c r="U59" s="2"/>
      <c r="V59" s="6">
        <f t="shared" si="41"/>
        <v>1.7597501154836012E-4</v>
      </c>
      <c r="W59" s="2"/>
      <c r="X59" s="7">
        <f t="shared" si="42"/>
        <v>-22</v>
      </c>
      <c r="Y59" s="2"/>
      <c r="Z59" s="6">
        <f t="shared" si="43"/>
        <v>-0.55000000000000004</v>
      </c>
    </row>
    <row r="60" spans="1:26" s="28" customFormat="1" outlineLevel="1" collapsed="1" x14ac:dyDescent="0.25">
      <c r="A60" s="27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SUM(OSRRefD22_7x_0)</f>
        <v>91.26</v>
      </c>
      <c r="E60" s="1"/>
      <c r="F60" s="5">
        <f t="shared" si="36"/>
        <v>6.2387927669380907E-4</v>
      </c>
      <c r="G60" s="1"/>
      <c r="H60" s="1">
        <f>SUM(OSRRefH22_7x_0)</f>
        <v>951</v>
      </c>
      <c r="I60" s="1"/>
      <c r="J60" s="5">
        <f t="shared" si="37"/>
        <v>5.8979670309224647E-3</v>
      </c>
      <c r="K60" s="1"/>
      <c r="L60" s="1">
        <f t="shared" si="38"/>
        <v>-859.74</v>
      </c>
      <c r="M60" s="1"/>
      <c r="N60" s="5">
        <f t="shared" si="39"/>
        <v>-0.90403785488958988</v>
      </c>
      <c r="O60" s="14"/>
      <c r="P60" s="1">
        <f>SUM(OSRRefP22_7x_0)</f>
        <v>1798.71</v>
      </c>
      <c r="Q60" s="1"/>
      <c r="R60" s="5">
        <f t="shared" si="40"/>
        <v>7.9969493766175424E-3</v>
      </c>
      <c r="S60" s="1"/>
      <c r="T60" s="1">
        <f>SUM(OSRRefT22_7x_0)</f>
        <v>2853</v>
      </c>
      <c r="U60" s="1"/>
      <c r="V60" s="5">
        <f t="shared" si="41"/>
        <v>1.2551417698686786E-2</v>
      </c>
      <c r="W60" s="1"/>
      <c r="X60" s="1">
        <f t="shared" si="42"/>
        <v>-1054.29</v>
      </c>
      <c r="Y60" s="1"/>
      <c r="Z60" s="5">
        <f t="shared" si="43"/>
        <v>-0.36953732912723447</v>
      </c>
    </row>
    <row r="61" spans="1:26" s="24" customFormat="1" hidden="1" outlineLevel="2" x14ac:dyDescent="0.25">
      <c r="A61" s="29"/>
      <c r="B61" s="11" t="str">
        <f>CONCATENATE("          ", "6351", " - ", "EQUIPMENT RENTAL")</f>
        <v xml:space="preserve">          6351 - EQUIPMENT RENTAL</v>
      </c>
      <c r="C61" s="11"/>
      <c r="D61" s="7">
        <v>91.26</v>
      </c>
      <c r="E61" s="2"/>
      <c r="F61" s="6">
        <f t="shared" si="36"/>
        <v>6.2387927669380907E-4</v>
      </c>
      <c r="G61" s="2"/>
      <c r="H61" s="7">
        <v>951</v>
      </c>
      <c r="I61" s="2"/>
      <c r="J61" s="6">
        <f t="shared" si="37"/>
        <v>5.8979670309224647E-3</v>
      </c>
      <c r="K61" s="2"/>
      <c r="L61" s="7">
        <f t="shared" si="38"/>
        <v>-859.74</v>
      </c>
      <c r="M61" s="2"/>
      <c r="N61" s="6">
        <f t="shared" si="39"/>
        <v>-0.90403785488958988</v>
      </c>
      <c r="O61" s="11"/>
      <c r="P61" s="7">
        <v>1798.71</v>
      </c>
      <c r="Q61" s="2"/>
      <c r="R61" s="6">
        <f t="shared" si="40"/>
        <v>7.9969493766175424E-3</v>
      </c>
      <c r="S61" s="2"/>
      <c r="T61" s="7">
        <v>2853</v>
      </c>
      <c r="U61" s="2"/>
      <c r="V61" s="6">
        <f t="shared" si="41"/>
        <v>1.2551417698686786E-2</v>
      </c>
      <c r="W61" s="2"/>
      <c r="X61" s="7">
        <f t="shared" si="42"/>
        <v>-1054.29</v>
      </c>
      <c r="Y61" s="2"/>
      <c r="Z61" s="6">
        <f t="shared" si="43"/>
        <v>-0.36953732912723447</v>
      </c>
    </row>
    <row r="62" spans="1:26" s="28" customFormat="1" outlineLevel="1" collapsed="1" x14ac:dyDescent="0.25">
      <c r="A62" s="27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SUM(OSRRefD22_8x_0)</f>
        <v>0</v>
      </c>
      <c r="E62" s="1"/>
      <c r="F62" s="5">
        <f t="shared" si="36"/>
        <v>0</v>
      </c>
      <c r="G62" s="1"/>
      <c r="H62" s="1">
        <f>SUM(OSRRefH22_8x_0)</f>
        <v>300</v>
      </c>
      <c r="I62" s="1"/>
      <c r="J62" s="5">
        <f t="shared" si="37"/>
        <v>1.8605574230039319E-3</v>
      </c>
      <c r="K62" s="1"/>
      <c r="L62" s="1">
        <f t="shared" si="38"/>
        <v>-300</v>
      </c>
      <c r="M62" s="1"/>
      <c r="N62" s="5">
        <f t="shared" si="39"/>
        <v>-1</v>
      </c>
      <c r="O62" s="14"/>
      <c r="P62" s="1">
        <f>SUM(OSRRefP22_8x_0)</f>
        <v>13934.21</v>
      </c>
      <c r="Q62" s="1"/>
      <c r="R62" s="5">
        <f t="shared" si="40"/>
        <v>6.1950604585040342E-2</v>
      </c>
      <c r="S62" s="1"/>
      <c r="T62" s="1">
        <f>SUM(OSRRefT22_8x_0)</f>
        <v>3535</v>
      </c>
      <c r="U62" s="1"/>
      <c r="V62" s="5">
        <f t="shared" si="41"/>
        <v>1.5551791645586326E-2</v>
      </c>
      <c r="W62" s="1"/>
      <c r="X62" s="1">
        <f t="shared" si="42"/>
        <v>10399.209999999999</v>
      </c>
      <c r="Y62" s="1"/>
      <c r="Z62" s="5">
        <f t="shared" si="43"/>
        <v>2.9417850070721356</v>
      </c>
    </row>
    <row r="63" spans="1:26" s="24" customFormat="1" hidden="1" outlineLevel="2" x14ac:dyDescent="0.25">
      <c r="A63" s="29"/>
      <c r="B63" s="11" t="str">
        <f>CONCATENATE("          ", "6279", " - ", "GENERAL EXPENSE")</f>
        <v xml:space="preserve">          6279 - GENERAL EXPENSE</v>
      </c>
      <c r="C63" s="11"/>
      <c r="D63" s="7"/>
      <c r="E63" s="2"/>
      <c r="F63" s="6">
        <f t="shared" si="36"/>
        <v>0</v>
      </c>
      <c r="G63" s="2"/>
      <c r="H63" s="7">
        <v>300</v>
      </c>
      <c r="I63" s="2"/>
      <c r="J63" s="6">
        <f t="shared" si="37"/>
        <v>1.8605574230039319E-3</v>
      </c>
      <c r="K63" s="2"/>
      <c r="L63" s="7">
        <f t="shared" si="38"/>
        <v>-300</v>
      </c>
      <c r="M63" s="2"/>
      <c r="N63" s="6">
        <f t="shared" si="39"/>
        <v>-1</v>
      </c>
      <c r="O63" s="11"/>
      <c r="P63" s="7">
        <v>13934.21</v>
      </c>
      <c r="Q63" s="2"/>
      <c r="R63" s="6">
        <f t="shared" si="40"/>
        <v>6.1950604585040342E-2</v>
      </c>
      <c r="S63" s="2"/>
      <c r="T63" s="7">
        <v>3535</v>
      </c>
      <c r="U63" s="2"/>
      <c r="V63" s="6">
        <f t="shared" si="41"/>
        <v>1.5551791645586326E-2</v>
      </c>
      <c r="W63" s="2"/>
      <c r="X63" s="7">
        <f t="shared" si="42"/>
        <v>10399.209999999999</v>
      </c>
      <c r="Y63" s="2"/>
      <c r="Z63" s="6">
        <f t="shared" si="43"/>
        <v>2.9417850070721356</v>
      </c>
    </row>
    <row r="64" spans="1:26" s="28" customFormat="1" outlineLevel="1" collapsed="1" x14ac:dyDescent="0.25">
      <c r="A64" s="27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SUM(OSRRefD22_9x_0)</f>
        <v>6087.22</v>
      </c>
      <c r="E64" s="1"/>
      <c r="F64" s="5">
        <f t="shared" si="36"/>
        <v>4.1613964614026833E-2</v>
      </c>
      <c r="G64" s="1"/>
      <c r="H64" s="1">
        <f>SUM(OSRRefH22_9x_0)</f>
        <v>6000</v>
      </c>
      <c r="I64" s="1"/>
      <c r="J64" s="5">
        <f t="shared" si="37"/>
        <v>3.7211148460078641E-2</v>
      </c>
      <c r="K64" s="1"/>
      <c r="L64" s="1">
        <f t="shared" si="38"/>
        <v>87.220000000000255</v>
      </c>
      <c r="M64" s="1"/>
      <c r="N64" s="5">
        <f t="shared" si="39"/>
        <v>1.453666666666671E-2</v>
      </c>
      <c r="O64" s="14"/>
      <c r="P64" s="1">
        <f>SUM(OSRRefP22_9x_0)</f>
        <v>18261.66</v>
      </c>
      <c r="Q64" s="1"/>
      <c r="R64" s="5">
        <f t="shared" si="40"/>
        <v>8.1190169929005504E-2</v>
      </c>
      <c r="S64" s="1"/>
      <c r="T64" s="1">
        <f>SUM(OSRRefT22_9x_0)</f>
        <v>18000</v>
      </c>
      <c r="U64" s="1"/>
      <c r="V64" s="5">
        <f t="shared" si="41"/>
        <v>7.9188755196762065E-2</v>
      </c>
      <c r="W64" s="1"/>
      <c r="X64" s="1">
        <f t="shared" si="42"/>
        <v>261.65999999999985</v>
      </c>
      <c r="Y64" s="1"/>
      <c r="Z64" s="5">
        <f t="shared" si="43"/>
        <v>1.4536666666666658E-2</v>
      </c>
    </row>
    <row r="65" spans="1:26" s="24" customFormat="1" hidden="1" outlineLevel="2" x14ac:dyDescent="0.25">
      <c r="A65" s="29"/>
      <c r="B65" s="11" t="str">
        <f>CONCATENATE("          ", "6314", " - ", "LIABILITY INSURANCE")</f>
        <v xml:space="preserve">          6314 - LIABILITY INSURANCE</v>
      </c>
      <c r="C65" s="11"/>
      <c r="D65" s="7">
        <v>6087.22</v>
      </c>
      <c r="E65" s="2"/>
      <c r="F65" s="6">
        <f t="shared" si="36"/>
        <v>4.1613964614026833E-2</v>
      </c>
      <c r="G65" s="2"/>
      <c r="H65" s="7">
        <v>6000</v>
      </c>
      <c r="I65" s="2"/>
      <c r="J65" s="6">
        <f t="shared" si="37"/>
        <v>3.7211148460078641E-2</v>
      </c>
      <c r="K65" s="2"/>
      <c r="L65" s="7">
        <f t="shared" si="38"/>
        <v>87.220000000000255</v>
      </c>
      <c r="M65" s="2"/>
      <c r="N65" s="6">
        <f t="shared" si="39"/>
        <v>1.453666666666671E-2</v>
      </c>
      <c r="O65" s="11"/>
      <c r="P65" s="7">
        <v>18261.66</v>
      </c>
      <c r="Q65" s="2"/>
      <c r="R65" s="6">
        <f t="shared" si="40"/>
        <v>8.1190169929005504E-2</v>
      </c>
      <c r="S65" s="2"/>
      <c r="T65" s="7">
        <v>18000</v>
      </c>
      <c r="U65" s="2"/>
      <c r="V65" s="6">
        <f t="shared" si="41"/>
        <v>7.9188755196762065E-2</v>
      </c>
      <c r="W65" s="2"/>
      <c r="X65" s="7">
        <f t="shared" si="42"/>
        <v>261.65999999999985</v>
      </c>
      <c r="Y65" s="2"/>
      <c r="Z65" s="6">
        <f t="shared" si="43"/>
        <v>1.4536666666666658E-2</v>
      </c>
    </row>
    <row r="66" spans="1:26" s="28" customFormat="1" outlineLevel="1" collapsed="1" x14ac:dyDescent="0.25">
      <c r="A66" s="27"/>
      <c r="B66" s="14" t="str">
        <f>CONCATENATE("     ","Interest                                          ")</f>
        <v xml:space="preserve">     Interest                                          </v>
      </c>
      <c r="C66" s="14"/>
      <c r="D66" s="1">
        <f>SUM(OSRRefD22_10x_0)</f>
        <v>11158</v>
      </c>
      <c r="E66" s="1"/>
      <c r="F66" s="5">
        <f t="shared" si="36"/>
        <v>7.6279256731859757E-2</v>
      </c>
      <c r="G66" s="1"/>
      <c r="H66" s="1">
        <f>SUM(OSRRefH22_10x_0)</f>
        <v>11158</v>
      </c>
      <c r="I66" s="1"/>
      <c r="J66" s="5">
        <f t="shared" si="37"/>
        <v>6.9200332419592905E-2</v>
      </c>
      <c r="K66" s="1"/>
      <c r="L66" s="1">
        <f t="shared" si="38"/>
        <v>0</v>
      </c>
      <c r="M66" s="1"/>
      <c r="N66" s="5">
        <f t="shared" si="39"/>
        <v>0</v>
      </c>
      <c r="O66" s="14"/>
      <c r="P66" s="1">
        <f>SUM(OSRRefP22_10x_0)</f>
        <v>33474</v>
      </c>
      <c r="Q66" s="1"/>
      <c r="R66" s="5">
        <f t="shared" si="40"/>
        <v>0.14882325857581022</v>
      </c>
      <c r="S66" s="1"/>
      <c r="T66" s="1">
        <f>SUM(OSRRefT22_10x_0)</f>
        <v>33474</v>
      </c>
      <c r="U66" s="1"/>
      <c r="V66" s="5">
        <f t="shared" si="41"/>
        <v>0.14726468841424517</v>
      </c>
      <c r="W66" s="1"/>
      <c r="X66" s="1">
        <f t="shared" si="42"/>
        <v>0</v>
      </c>
      <c r="Y66" s="1"/>
      <c r="Z66" s="5">
        <f t="shared" si="43"/>
        <v>0</v>
      </c>
    </row>
    <row r="67" spans="1:26" s="24" customFormat="1" hidden="1" outlineLevel="2" x14ac:dyDescent="0.25">
      <c r="A67" s="29"/>
      <c r="B67" s="11" t="str">
        <f>CONCATENATE("          ", "6401", " - ", "INTEREST EXPENSE")</f>
        <v xml:space="preserve">          6401 - INTEREST EXPENSE</v>
      </c>
      <c r="C67" s="11"/>
      <c r="D67" s="7">
        <v>11158</v>
      </c>
      <c r="E67" s="2"/>
      <c r="F67" s="6">
        <f t="shared" si="36"/>
        <v>7.6279256731859757E-2</v>
      </c>
      <c r="G67" s="2"/>
      <c r="H67" s="7">
        <v>11158</v>
      </c>
      <c r="I67" s="2"/>
      <c r="J67" s="6">
        <f t="shared" si="37"/>
        <v>6.9200332419592905E-2</v>
      </c>
      <c r="K67" s="2"/>
      <c r="L67" s="7">
        <f t="shared" si="38"/>
        <v>0</v>
      </c>
      <c r="M67" s="2"/>
      <c r="N67" s="6">
        <f t="shared" si="39"/>
        <v>0</v>
      </c>
      <c r="O67" s="11"/>
      <c r="P67" s="7">
        <v>33474</v>
      </c>
      <c r="Q67" s="2"/>
      <c r="R67" s="6">
        <f t="shared" si="40"/>
        <v>0.14882325857581022</v>
      </c>
      <c r="S67" s="2"/>
      <c r="T67" s="7">
        <v>33474</v>
      </c>
      <c r="U67" s="2"/>
      <c r="V67" s="6">
        <f t="shared" si="41"/>
        <v>0.14726468841424517</v>
      </c>
      <c r="W67" s="2"/>
      <c r="X67" s="7">
        <f t="shared" si="42"/>
        <v>0</v>
      </c>
      <c r="Y67" s="2"/>
      <c r="Z67" s="6">
        <f t="shared" si="43"/>
        <v>0</v>
      </c>
    </row>
    <row r="68" spans="1:26" s="28" customFormat="1" outlineLevel="1" collapsed="1" x14ac:dyDescent="0.25">
      <c r="A68" s="27"/>
      <c r="B68" s="14" t="str">
        <f>CONCATENATE("     ","Rent                                              ")</f>
        <v xml:space="preserve">     Rent                                              </v>
      </c>
      <c r="C68" s="14"/>
      <c r="D68" s="1">
        <f>SUM(OSRRefD22_11x_0)</f>
        <v>1850</v>
      </c>
      <c r="E68" s="1"/>
      <c r="F68" s="5">
        <f t="shared" si="36"/>
        <v>1.2647125376764701E-2</v>
      </c>
      <c r="G68" s="1"/>
      <c r="H68" s="1">
        <f>SUM(OSRRefH22_11x_0)</f>
        <v>1850</v>
      </c>
      <c r="I68" s="1"/>
      <c r="J68" s="5">
        <f t="shared" si="37"/>
        <v>1.1473437441857581E-2</v>
      </c>
      <c r="K68" s="1"/>
      <c r="L68" s="1">
        <f t="shared" si="38"/>
        <v>0</v>
      </c>
      <c r="M68" s="1"/>
      <c r="N68" s="5">
        <f t="shared" si="39"/>
        <v>0</v>
      </c>
      <c r="O68" s="14"/>
      <c r="P68" s="1">
        <f>SUM(OSRRefP22_11x_0)</f>
        <v>5550</v>
      </c>
      <c r="Q68" s="1"/>
      <c r="R68" s="5">
        <f t="shared" si="40"/>
        <v>2.4674944287977139E-2</v>
      </c>
      <c r="S68" s="1"/>
      <c r="T68" s="1">
        <f>SUM(OSRRefT22_11x_0)</f>
        <v>5550</v>
      </c>
      <c r="U68" s="1"/>
      <c r="V68" s="5">
        <f t="shared" si="41"/>
        <v>2.4416532852334968E-2</v>
      </c>
      <c r="W68" s="1"/>
      <c r="X68" s="1">
        <f t="shared" si="42"/>
        <v>0</v>
      </c>
      <c r="Y68" s="1"/>
      <c r="Z68" s="5">
        <f t="shared" si="43"/>
        <v>0</v>
      </c>
    </row>
    <row r="69" spans="1:26" s="24" customFormat="1" hidden="1" outlineLevel="2" x14ac:dyDescent="0.25">
      <c r="A69" s="29"/>
      <c r="B69" s="11" t="str">
        <f>CONCATENATE("          ", "6273", " - ", "RENT")</f>
        <v xml:space="preserve">          6273 - RENT</v>
      </c>
      <c r="C69" s="11"/>
      <c r="D69" s="7">
        <v>1850</v>
      </c>
      <c r="E69" s="2"/>
      <c r="F69" s="6">
        <f t="shared" si="36"/>
        <v>1.2647125376764701E-2</v>
      </c>
      <c r="G69" s="2"/>
      <c r="H69" s="7">
        <v>1850</v>
      </c>
      <c r="I69" s="2"/>
      <c r="J69" s="6">
        <f t="shared" si="37"/>
        <v>1.1473437441857581E-2</v>
      </c>
      <c r="K69" s="2"/>
      <c r="L69" s="7">
        <f t="shared" si="38"/>
        <v>0</v>
      </c>
      <c r="M69" s="2"/>
      <c r="N69" s="6">
        <f t="shared" si="39"/>
        <v>0</v>
      </c>
      <c r="O69" s="11"/>
      <c r="P69" s="7">
        <v>5550</v>
      </c>
      <c r="Q69" s="2"/>
      <c r="R69" s="6">
        <f t="shared" si="40"/>
        <v>2.4674944287977139E-2</v>
      </c>
      <c r="S69" s="2"/>
      <c r="T69" s="7">
        <v>5550</v>
      </c>
      <c r="U69" s="2"/>
      <c r="V69" s="6">
        <f t="shared" si="41"/>
        <v>2.4416532852334968E-2</v>
      </c>
      <c r="W69" s="2"/>
      <c r="X69" s="7">
        <f t="shared" si="42"/>
        <v>0</v>
      </c>
      <c r="Y69" s="2"/>
      <c r="Z69" s="6">
        <f t="shared" si="43"/>
        <v>0</v>
      </c>
    </row>
    <row r="70" spans="1:26" s="28" customFormat="1" outlineLevel="1" collapsed="1" x14ac:dyDescent="0.25">
      <c r="A70" s="27"/>
      <c r="B70" s="14" t="str">
        <f>CONCATENATE("     ","Repair and Maintenance                            ")</f>
        <v xml:space="preserve">     Repair and Maintenance                            </v>
      </c>
      <c r="C70" s="14"/>
      <c r="D70" s="1">
        <f>SUM(OSRRefD22_12x_0)</f>
        <v>3481.81</v>
      </c>
      <c r="E70" s="1"/>
      <c r="F70" s="5">
        <f t="shared" si="36"/>
        <v>2.3802641950309789E-2</v>
      </c>
      <c r="G70" s="1"/>
      <c r="H70" s="1">
        <f>SUM(OSRRefH22_12x_0)</f>
        <v>5579</v>
      </c>
      <c r="I70" s="1"/>
      <c r="J70" s="5">
        <f t="shared" si="37"/>
        <v>3.4600166209796453E-2</v>
      </c>
      <c r="K70" s="1"/>
      <c r="L70" s="1">
        <f t="shared" si="38"/>
        <v>-2097.19</v>
      </c>
      <c r="M70" s="1"/>
      <c r="N70" s="5">
        <f t="shared" si="39"/>
        <v>-0.37590786879369065</v>
      </c>
      <c r="O70" s="14"/>
      <c r="P70" s="1">
        <f>SUM(OSRRefP22_12x_0)</f>
        <v>31030.050000000003</v>
      </c>
      <c r="Q70" s="1"/>
      <c r="R70" s="5">
        <f t="shared" si="40"/>
        <v>0.1379576135140802</v>
      </c>
      <c r="S70" s="1"/>
      <c r="T70" s="1">
        <f>SUM(OSRRefT22_12x_0)</f>
        <v>21821</v>
      </c>
      <c r="U70" s="1"/>
      <c r="V70" s="5">
        <f t="shared" si="41"/>
        <v>9.5998768174919161E-2</v>
      </c>
      <c r="W70" s="1"/>
      <c r="X70" s="1">
        <f t="shared" si="42"/>
        <v>9209.0500000000029</v>
      </c>
      <c r="Y70" s="1"/>
      <c r="Z70" s="5">
        <f t="shared" si="43"/>
        <v>0.42202694651940803</v>
      </c>
    </row>
    <row r="71" spans="1:26" s="24" customFormat="1" hidden="1" outlineLevel="2" x14ac:dyDescent="0.25">
      <c r="A71" s="29"/>
      <c r="B71" s="11" t="str">
        <f>CONCATENATE("          ", "6371", " - ", "COMPUTER SOFTWARE MAINTENANCE")</f>
        <v xml:space="preserve">          6371 - COMPUTER SOFTWARE MAINTENANCE</v>
      </c>
      <c r="C71" s="11"/>
      <c r="D71" s="7"/>
      <c r="E71" s="2"/>
      <c r="F71" s="6">
        <f t="shared" si="36"/>
        <v>0</v>
      </c>
      <c r="G71" s="2"/>
      <c r="H71" s="7">
        <v>2623</v>
      </c>
      <c r="I71" s="2"/>
      <c r="J71" s="6">
        <f t="shared" si="37"/>
        <v>1.6267473735131044E-2</v>
      </c>
      <c r="K71" s="2"/>
      <c r="L71" s="7">
        <f t="shared" si="38"/>
        <v>-2623</v>
      </c>
      <c r="M71" s="2"/>
      <c r="N71" s="6">
        <f t="shared" si="39"/>
        <v>-1</v>
      </c>
      <c r="O71" s="11"/>
      <c r="P71" s="7">
        <v>5177.72</v>
      </c>
      <c r="Q71" s="2"/>
      <c r="R71" s="6">
        <f t="shared" si="40"/>
        <v>2.3019811268242343E-2</v>
      </c>
      <c r="S71" s="2"/>
      <c r="T71" s="7">
        <v>2623</v>
      </c>
      <c r="U71" s="2"/>
      <c r="V71" s="6">
        <f t="shared" si="41"/>
        <v>1.1539561382283715E-2</v>
      </c>
      <c r="W71" s="2"/>
      <c r="X71" s="7">
        <f t="shared" si="42"/>
        <v>2554.7200000000003</v>
      </c>
      <c r="Y71" s="2"/>
      <c r="Z71" s="6">
        <f t="shared" si="43"/>
        <v>0.97396873808616102</v>
      </c>
    </row>
    <row r="72" spans="1:26" s="24" customFormat="1" hidden="1" outlineLevel="2" x14ac:dyDescent="0.25">
      <c r="A72" s="29"/>
      <c r="B72" s="11" t="str">
        <f>CONCATENATE("          ", "6373", " - ", "MAINTENANCE CONTRACTS")</f>
        <v xml:space="preserve">          6373 - MAINTENANCE CONTRACTS</v>
      </c>
      <c r="C72" s="11"/>
      <c r="D72" s="7">
        <v>1161.3499999999999</v>
      </c>
      <c r="E72" s="2"/>
      <c r="F72" s="6">
        <f t="shared" si="36"/>
        <v>7.9393184088138846E-3</v>
      </c>
      <c r="G72" s="2"/>
      <c r="H72" s="7">
        <v>138</v>
      </c>
      <c r="I72" s="2"/>
      <c r="J72" s="6">
        <f t="shared" si="37"/>
        <v>8.5585641458180866E-4</v>
      </c>
      <c r="K72" s="2"/>
      <c r="L72" s="7">
        <f t="shared" si="38"/>
        <v>1023.3499999999999</v>
      </c>
      <c r="M72" s="2"/>
      <c r="N72" s="6">
        <f t="shared" si="39"/>
        <v>7.415579710144927</v>
      </c>
      <c r="O72" s="11"/>
      <c r="P72" s="7">
        <v>1162.22</v>
      </c>
      <c r="Q72" s="2"/>
      <c r="R72" s="6">
        <f t="shared" si="40"/>
        <v>5.1671556306978001E-3</v>
      </c>
      <c r="S72" s="2"/>
      <c r="T72" s="7">
        <v>1578</v>
      </c>
      <c r="U72" s="2"/>
      <c r="V72" s="6">
        <f t="shared" si="41"/>
        <v>6.9422142055828072E-3</v>
      </c>
      <c r="W72" s="2"/>
      <c r="X72" s="7">
        <f t="shared" si="42"/>
        <v>-415.78</v>
      </c>
      <c r="Y72" s="2"/>
      <c r="Z72" s="6">
        <f t="shared" si="43"/>
        <v>-0.26348542458808616</v>
      </c>
    </row>
    <row r="73" spans="1:26" s="24" customFormat="1" hidden="1" outlineLevel="2" x14ac:dyDescent="0.25">
      <c r="A73" s="29"/>
      <c r="B73" s="11" t="str">
        <f>CONCATENATE("          ", "6375", " - ", "OUTSIDE REPAIRS &amp; MAINTENANCE")</f>
        <v xml:space="preserve">          6375 - OUTSIDE REPAIRS &amp; MAINTENANCE</v>
      </c>
      <c r="C73" s="11"/>
      <c r="D73" s="7">
        <v>2320.46</v>
      </c>
      <c r="E73" s="2"/>
      <c r="F73" s="6">
        <f t="shared" si="36"/>
        <v>1.5863323541495902E-2</v>
      </c>
      <c r="G73" s="2"/>
      <c r="H73" s="7">
        <v>2818</v>
      </c>
      <c r="I73" s="2"/>
      <c r="J73" s="6">
        <f t="shared" si="37"/>
        <v>1.74768360600836E-2</v>
      </c>
      <c r="K73" s="2"/>
      <c r="L73" s="7">
        <f t="shared" si="38"/>
        <v>-497.53999999999996</v>
      </c>
      <c r="M73" s="2"/>
      <c r="N73" s="6">
        <f t="shared" si="39"/>
        <v>-0.17655784244144782</v>
      </c>
      <c r="O73" s="11"/>
      <c r="P73" s="7">
        <v>24690.11</v>
      </c>
      <c r="Q73" s="2"/>
      <c r="R73" s="6">
        <f t="shared" si="40"/>
        <v>0.10977064661514004</v>
      </c>
      <c r="S73" s="2"/>
      <c r="T73" s="7">
        <v>17620</v>
      </c>
      <c r="U73" s="2"/>
      <c r="V73" s="6">
        <f t="shared" si="41"/>
        <v>7.7516992587052636E-2</v>
      </c>
      <c r="W73" s="2"/>
      <c r="X73" s="7">
        <f t="shared" si="42"/>
        <v>7070.1100000000006</v>
      </c>
      <c r="Y73" s="2"/>
      <c r="Z73" s="6">
        <f t="shared" si="43"/>
        <v>0.40125482406356416</v>
      </c>
    </row>
    <row r="74" spans="1:26" s="28" customFormat="1" outlineLevel="1" collapsed="1" x14ac:dyDescent="0.25">
      <c r="A74" s="27"/>
      <c r="B74" s="14" t="str">
        <f>CONCATENATE("     ","Royalty &amp; Commissions                             ")</f>
        <v xml:space="preserve">     Royalty &amp; Commissions                             </v>
      </c>
      <c r="C74" s="14"/>
      <c r="D74" s="1">
        <f>SUM(OSRRefD22_13x_0)</f>
        <v>0</v>
      </c>
      <c r="E74" s="1"/>
      <c r="F74" s="5">
        <f t="shared" ref="F74:F81" si="44">IF(D$12=0,0,D74/D$12)</f>
        <v>0</v>
      </c>
      <c r="G74" s="1"/>
      <c r="H74" s="1">
        <f>SUM(OSRRefH22_13x_0)</f>
        <v>1224</v>
      </c>
      <c r="I74" s="1"/>
      <c r="J74" s="5">
        <f t="shared" ref="J74:J81" si="45">IF(H$12=0,0,H74/H$12)</f>
        <v>7.5910742858560426E-3</v>
      </c>
      <c r="K74" s="1"/>
      <c r="L74" s="1">
        <f t="shared" ref="L74:L81" si="46">+D74-H74</f>
        <v>-1224</v>
      </c>
      <c r="M74" s="1"/>
      <c r="N74" s="5">
        <f t="shared" ref="N74:N81" si="47">IF(H74=0,0,L74/H74)</f>
        <v>-1</v>
      </c>
      <c r="O74" s="14"/>
      <c r="P74" s="1">
        <f>SUM(OSRRefP22_13x_0)</f>
        <v>0</v>
      </c>
      <c r="Q74" s="1"/>
      <c r="R74" s="5">
        <f t="shared" ref="R74:R81" si="48">IF(P$12=0,0,P74/P$12)</f>
        <v>0</v>
      </c>
      <c r="S74" s="1"/>
      <c r="T74" s="1">
        <f>SUM(OSRRefT22_13x_0)</f>
        <v>1629</v>
      </c>
      <c r="U74" s="1"/>
      <c r="V74" s="5">
        <f t="shared" ref="V74:V81" si="49">IF(T$12=0,0,T74/T$12)</f>
        <v>7.1665823453069665E-3</v>
      </c>
      <c r="W74" s="1"/>
      <c r="X74" s="1">
        <f t="shared" ref="X74:X81" si="50">+P74-T74</f>
        <v>-1629</v>
      </c>
      <c r="Y74" s="1"/>
      <c r="Z74" s="5">
        <f t="shared" ref="Z74:Z81" si="51">IF(T74=0,0,X74/T74)</f>
        <v>-1</v>
      </c>
    </row>
    <row r="75" spans="1:26" s="24" customFormat="1" hidden="1" outlineLevel="2" x14ac:dyDescent="0.25">
      <c r="A75" s="29"/>
      <c r="B75" s="11" t="str">
        <f>CONCATENATE("          ", "6259", " - ", "ROYALTY &amp; COMMISSIONS")</f>
        <v xml:space="preserve">          6259 - ROYALTY &amp; COMMISSIONS</v>
      </c>
      <c r="C75" s="11"/>
      <c r="D75" s="7"/>
      <c r="E75" s="2"/>
      <c r="F75" s="6">
        <f t="shared" si="44"/>
        <v>0</v>
      </c>
      <c r="G75" s="2"/>
      <c r="H75" s="7">
        <v>1224</v>
      </c>
      <c r="I75" s="2"/>
      <c r="J75" s="6">
        <f t="shared" si="45"/>
        <v>7.5910742858560426E-3</v>
      </c>
      <c r="K75" s="2"/>
      <c r="L75" s="7">
        <f t="shared" si="46"/>
        <v>-1224</v>
      </c>
      <c r="M75" s="2"/>
      <c r="N75" s="6">
        <f t="shared" si="47"/>
        <v>-1</v>
      </c>
      <c r="O75" s="11"/>
      <c r="P75" s="7"/>
      <c r="Q75" s="2"/>
      <c r="R75" s="6">
        <f t="shared" si="48"/>
        <v>0</v>
      </c>
      <c r="S75" s="2"/>
      <c r="T75" s="7">
        <v>1629</v>
      </c>
      <c r="U75" s="2"/>
      <c r="V75" s="6">
        <f t="shared" si="49"/>
        <v>7.1665823453069665E-3</v>
      </c>
      <c r="W75" s="2"/>
      <c r="X75" s="7">
        <f t="shared" si="50"/>
        <v>-1629</v>
      </c>
      <c r="Y75" s="2"/>
      <c r="Z75" s="6">
        <f t="shared" si="51"/>
        <v>-1</v>
      </c>
    </row>
    <row r="76" spans="1:26" s="28" customFormat="1" outlineLevel="1" collapsed="1" x14ac:dyDescent="0.25">
      <c r="A76" s="27"/>
      <c r="B76" s="14" t="str">
        <f>CONCATENATE("     ","Services                                          ")</f>
        <v xml:space="preserve">     Services                                          </v>
      </c>
      <c r="C76" s="14"/>
      <c r="D76" s="1">
        <f>SUM(OSRRefD22_14x_0)</f>
        <v>8819.6799999999985</v>
      </c>
      <c r="E76" s="1"/>
      <c r="F76" s="5">
        <f t="shared" si="44"/>
        <v>6.0293837158348157E-2</v>
      </c>
      <c r="G76" s="1"/>
      <c r="H76" s="1">
        <f>SUM(OSRRefH22_14x_0)</f>
        <v>11297</v>
      </c>
      <c r="I76" s="1"/>
      <c r="J76" s="5">
        <f t="shared" si="45"/>
        <v>7.0062390692251397E-2</v>
      </c>
      <c r="K76" s="1"/>
      <c r="L76" s="1">
        <f t="shared" si="46"/>
        <v>-2477.3200000000015</v>
      </c>
      <c r="M76" s="1"/>
      <c r="N76" s="5">
        <f t="shared" si="47"/>
        <v>-0.21929007701159614</v>
      </c>
      <c r="O76" s="14"/>
      <c r="P76" s="1">
        <f>SUM(OSRRefP22_14x_0)</f>
        <v>37350.42</v>
      </c>
      <c r="Q76" s="1"/>
      <c r="R76" s="5">
        <f t="shared" si="48"/>
        <v>0.16605757344730576</v>
      </c>
      <c r="S76" s="1"/>
      <c r="T76" s="1">
        <f>SUM(OSRRefT22_14x_0)</f>
        <v>28592</v>
      </c>
      <c r="U76" s="1"/>
      <c r="V76" s="5">
        <f t="shared" si="49"/>
        <v>0.12578693825476783</v>
      </c>
      <c r="W76" s="1"/>
      <c r="X76" s="1">
        <f t="shared" si="50"/>
        <v>8758.4199999999983</v>
      </c>
      <c r="Y76" s="1"/>
      <c r="Z76" s="5">
        <f t="shared" si="51"/>
        <v>0.30632414661443752</v>
      </c>
    </row>
    <row r="77" spans="1:26" s="24" customFormat="1" hidden="1" outlineLevel="2" x14ac:dyDescent="0.25">
      <c r="A77" s="29"/>
      <c r="B77" s="11" t="str">
        <f>CONCATENATE("          ", "6282", " - ", "JANITORIAL/EXTERMINATOR EXPENS")</f>
        <v xml:space="preserve">          6282 - JANITORIAL/EXTERMINATOR EXPENS</v>
      </c>
      <c r="C77" s="11"/>
      <c r="D77" s="7">
        <v>1341.9</v>
      </c>
      <c r="E77" s="2"/>
      <c r="F77" s="6">
        <f t="shared" si="44"/>
        <v>9.1736094827462467E-3</v>
      </c>
      <c r="G77" s="2"/>
      <c r="H77" s="7">
        <v>1386</v>
      </c>
      <c r="I77" s="2"/>
      <c r="J77" s="6">
        <f t="shared" si="45"/>
        <v>8.595775294278166E-3</v>
      </c>
      <c r="K77" s="2"/>
      <c r="L77" s="7">
        <f t="shared" si="46"/>
        <v>-44.099999999999909</v>
      </c>
      <c r="M77" s="2"/>
      <c r="N77" s="6">
        <f t="shared" si="47"/>
        <v>-3.1818181818181752E-2</v>
      </c>
      <c r="O77" s="11"/>
      <c r="P77" s="7">
        <v>3505.75</v>
      </c>
      <c r="Q77" s="2"/>
      <c r="R77" s="6">
        <f t="shared" si="48"/>
        <v>1.5586339808572226E-2</v>
      </c>
      <c r="S77" s="2"/>
      <c r="T77" s="7">
        <v>3800</v>
      </c>
      <c r="U77" s="2"/>
      <c r="V77" s="6">
        <f t="shared" si="49"/>
        <v>1.6717626097094214E-2</v>
      </c>
      <c r="W77" s="2"/>
      <c r="X77" s="7">
        <f t="shared" si="50"/>
        <v>-294.25</v>
      </c>
      <c r="Y77" s="2"/>
      <c r="Z77" s="6">
        <f t="shared" si="51"/>
        <v>-7.7434210526315786E-2</v>
      </c>
    </row>
    <row r="78" spans="1:26" s="24" customFormat="1" hidden="1" outlineLevel="2" x14ac:dyDescent="0.25">
      <c r="A78" s="29"/>
      <c r="B78" s="11" t="str">
        <f>CONCATENATE("          ", "6283", " - ", "PLANT SERVICE")</f>
        <v xml:space="preserve">          6283 - PLANT SERVICE</v>
      </c>
      <c r="C78" s="11"/>
      <c r="D78" s="7"/>
      <c r="E78" s="2"/>
      <c r="F78" s="6">
        <f t="shared" si="44"/>
        <v>0</v>
      </c>
      <c r="G78" s="2"/>
      <c r="H78" s="7">
        <v>100</v>
      </c>
      <c r="I78" s="2"/>
      <c r="J78" s="6">
        <f t="shared" si="45"/>
        <v>6.201858076679773E-4</v>
      </c>
      <c r="K78" s="2"/>
      <c r="L78" s="7">
        <f t="shared" si="46"/>
        <v>-100</v>
      </c>
      <c r="M78" s="2"/>
      <c r="N78" s="6">
        <f t="shared" si="47"/>
        <v>-1</v>
      </c>
      <c r="O78" s="11"/>
      <c r="P78" s="7"/>
      <c r="Q78" s="2"/>
      <c r="R78" s="6">
        <f t="shared" si="48"/>
        <v>0</v>
      </c>
      <c r="S78" s="2"/>
      <c r="T78" s="7">
        <v>300</v>
      </c>
      <c r="U78" s="2"/>
      <c r="V78" s="6">
        <f t="shared" si="49"/>
        <v>1.319812586612701E-3</v>
      </c>
      <c r="W78" s="2"/>
      <c r="X78" s="7">
        <f t="shared" si="50"/>
        <v>-300</v>
      </c>
      <c r="Y78" s="2"/>
      <c r="Z78" s="6">
        <f t="shared" si="51"/>
        <v>-1</v>
      </c>
    </row>
    <row r="79" spans="1:26" s="24" customFormat="1" hidden="1" outlineLevel="2" x14ac:dyDescent="0.25">
      <c r="A79" s="29"/>
      <c r="B79" s="11" t="str">
        <f>CONCATENATE("          ", "6284", " - ", "TRASH REMOVAL EXPENSE")</f>
        <v xml:space="preserve">          6284 - TRASH REMOVAL EXPENSE</v>
      </c>
      <c r="C79" s="11"/>
      <c r="D79" s="7"/>
      <c r="E79" s="2"/>
      <c r="F79" s="6">
        <f t="shared" si="44"/>
        <v>0</v>
      </c>
      <c r="G79" s="2"/>
      <c r="H79" s="7">
        <v>1000</v>
      </c>
      <c r="I79" s="2"/>
      <c r="J79" s="6">
        <f t="shared" si="45"/>
        <v>6.201858076679773E-3</v>
      </c>
      <c r="K79" s="2"/>
      <c r="L79" s="7">
        <f t="shared" si="46"/>
        <v>-1000</v>
      </c>
      <c r="M79" s="2"/>
      <c r="N79" s="6">
        <f t="shared" si="47"/>
        <v>-1</v>
      </c>
      <c r="O79" s="11"/>
      <c r="P79" s="7"/>
      <c r="Q79" s="2"/>
      <c r="R79" s="6">
        <f t="shared" si="48"/>
        <v>0</v>
      </c>
      <c r="S79" s="2"/>
      <c r="T79" s="7">
        <v>3000</v>
      </c>
      <c r="U79" s="2"/>
      <c r="V79" s="6">
        <f t="shared" si="49"/>
        <v>1.319812586612701E-2</v>
      </c>
      <c r="W79" s="2"/>
      <c r="X79" s="7">
        <f t="shared" si="50"/>
        <v>-3000</v>
      </c>
      <c r="Y79" s="2"/>
      <c r="Z79" s="6">
        <f t="shared" si="51"/>
        <v>-1</v>
      </c>
    </row>
    <row r="80" spans="1:26" s="24" customFormat="1" hidden="1" outlineLevel="2" x14ac:dyDescent="0.25">
      <c r="A80" s="29"/>
      <c r="B80" s="11" t="str">
        <f>CONCATENATE("          ", "6285", " - ", "JANITORIAL SERVICES")</f>
        <v xml:space="preserve">          6285 - JANITORIAL SERVICES</v>
      </c>
      <c r="C80" s="11"/>
      <c r="D80" s="7">
        <v>7218.07</v>
      </c>
      <c r="E80" s="2"/>
      <c r="F80" s="6">
        <f t="shared" si="44"/>
        <v>4.934477636122378E-2</v>
      </c>
      <c r="G80" s="2"/>
      <c r="H80" s="7">
        <v>8224</v>
      </c>
      <c r="I80" s="2"/>
      <c r="J80" s="6">
        <f t="shared" si="45"/>
        <v>5.1004080822614456E-2</v>
      </c>
      <c r="K80" s="2"/>
      <c r="L80" s="7">
        <f t="shared" si="46"/>
        <v>-1005.9300000000003</v>
      </c>
      <c r="M80" s="2"/>
      <c r="N80" s="6">
        <f t="shared" si="47"/>
        <v>-0.12231639105058369</v>
      </c>
      <c r="O80" s="11"/>
      <c r="P80" s="7">
        <v>33213.54</v>
      </c>
      <c r="Q80" s="2"/>
      <c r="R80" s="6">
        <f t="shared" si="48"/>
        <v>0.14766527010927932</v>
      </c>
      <c r="S80" s="2"/>
      <c r="T80" s="7">
        <v>19489</v>
      </c>
      <c r="U80" s="2"/>
      <c r="V80" s="6">
        <f t="shared" si="49"/>
        <v>8.5739425001649772E-2</v>
      </c>
      <c r="W80" s="2"/>
      <c r="X80" s="7">
        <f t="shared" si="50"/>
        <v>13724.54</v>
      </c>
      <c r="Y80" s="2"/>
      <c r="Z80" s="6">
        <f t="shared" si="51"/>
        <v>0.70421981630663455</v>
      </c>
    </row>
    <row r="81" spans="1:26" s="24" customFormat="1" hidden="1" outlineLevel="2" x14ac:dyDescent="0.25">
      <c r="A81" s="29"/>
      <c r="B81" s="11" t="str">
        <f>CONCATENATE("          ", "6286", " - ", "LAUNDRY EXPENSE")</f>
        <v xml:space="preserve">          6286 - LAUNDRY EXPENSE</v>
      </c>
      <c r="C81" s="11"/>
      <c r="D81" s="7">
        <v>259.70999999999998</v>
      </c>
      <c r="E81" s="2"/>
      <c r="F81" s="6">
        <f t="shared" si="44"/>
        <v>1.7754513143781409E-3</v>
      </c>
      <c r="G81" s="2"/>
      <c r="H81" s="7">
        <v>587</v>
      </c>
      <c r="I81" s="2"/>
      <c r="J81" s="6">
        <f t="shared" si="45"/>
        <v>3.6404906910110267E-3</v>
      </c>
      <c r="K81" s="2"/>
      <c r="L81" s="7">
        <f t="shared" si="46"/>
        <v>-327.29000000000002</v>
      </c>
      <c r="M81" s="2"/>
      <c r="N81" s="6">
        <f t="shared" si="47"/>
        <v>-0.55756388415672919</v>
      </c>
      <c r="O81" s="11"/>
      <c r="P81" s="7">
        <v>631.13</v>
      </c>
      <c r="Q81" s="2"/>
      <c r="R81" s="6">
        <f t="shared" si="48"/>
        <v>2.8059635294542364E-3</v>
      </c>
      <c r="S81" s="2"/>
      <c r="T81" s="7">
        <v>2003</v>
      </c>
      <c r="U81" s="2"/>
      <c r="V81" s="6">
        <f t="shared" si="49"/>
        <v>8.8119487032841341E-3</v>
      </c>
      <c r="W81" s="2"/>
      <c r="X81" s="7">
        <f t="shared" si="50"/>
        <v>-1371.87</v>
      </c>
      <c r="Y81" s="2"/>
      <c r="Z81" s="6">
        <f t="shared" si="51"/>
        <v>-0.68490763854218661</v>
      </c>
    </row>
    <row r="82" spans="1:26" s="28" customFormat="1" outlineLevel="1" collapsed="1" x14ac:dyDescent="0.25">
      <c r="A82" s="27"/>
      <c r="B82" s="14" t="str">
        <f>CONCATENATE("     ","Subscriptions &amp; Dues                              ")</f>
        <v xml:space="preserve">     Subscriptions &amp; Dues                              </v>
      </c>
      <c r="C82" s="14"/>
      <c r="D82" s="1">
        <f>SUM(OSRRefD22_15x_0)</f>
        <v>408.93</v>
      </c>
      <c r="E82" s="1"/>
      <c r="F82" s="5">
        <f t="shared" ref="F82:F94" si="52">IF(D$12=0,0,D82/D$12)</f>
        <v>2.7955616109839945E-3</v>
      </c>
      <c r="G82" s="1"/>
      <c r="H82" s="1">
        <f>SUM(OSRRefH22_15x_0)</f>
        <v>610</v>
      </c>
      <c r="I82" s="1"/>
      <c r="J82" s="5">
        <f t="shared" ref="J82:J94" si="53">IF(H$12=0,0,H82/H$12)</f>
        <v>3.7831334267746618E-3</v>
      </c>
      <c r="K82" s="1"/>
      <c r="L82" s="1">
        <f t="shared" ref="L82:L94" si="54">+D82-H82</f>
        <v>-201.07</v>
      </c>
      <c r="M82" s="1"/>
      <c r="N82" s="5">
        <f t="shared" ref="N82:N94" si="55">IF(H82=0,0,L82/H82)</f>
        <v>-0.32962295081967213</v>
      </c>
      <c r="O82" s="14"/>
      <c r="P82" s="1">
        <f>SUM(OSRRefP22_15x_0)</f>
        <v>1133.19</v>
      </c>
      <c r="Q82" s="1"/>
      <c r="R82" s="5">
        <f t="shared" ref="R82:R94" si="56">IF(P$12=0,0,P82/P$12)</f>
        <v>5.0380901112960022E-3</v>
      </c>
      <c r="S82" s="1"/>
      <c r="T82" s="1">
        <f>SUM(OSRRefT22_15x_0)</f>
        <v>1600</v>
      </c>
      <c r="U82" s="1"/>
      <c r="V82" s="5">
        <f t="shared" ref="V82:V94" si="57">IF(T$12=0,0,T82/T$12)</f>
        <v>7.0390004619344049E-3</v>
      </c>
      <c r="W82" s="1"/>
      <c r="X82" s="1">
        <f t="shared" ref="X82:X94" si="58">+P82-T82</f>
        <v>-466.80999999999995</v>
      </c>
      <c r="Y82" s="1"/>
      <c r="Z82" s="5">
        <f t="shared" ref="Z82:Z94" si="59">IF(T82=0,0,X82/T82)</f>
        <v>-0.29175624999999994</v>
      </c>
    </row>
    <row r="83" spans="1:26" s="24" customFormat="1" hidden="1" outlineLevel="2" x14ac:dyDescent="0.25">
      <c r="A83" s="29"/>
      <c r="B83" s="11" t="str">
        <f>CONCATENATE("          ", "6275", " - ", "SUBSCRIPTIONS")</f>
        <v xml:space="preserve">          6275 - SUBSCRIPTIONS</v>
      </c>
      <c r="C83" s="11"/>
      <c r="D83" s="7">
        <v>408.93</v>
      </c>
      <c r="E83" s="2"/>
      <c r="F83" s="6">
        <f t="shared" si="52"/>
        <v>2.7955616109839945E-3</v>
      </c>
      <c r="G83" s="2"/>
      <c r="H83" s="7">
        <v>610</v>
      </c>
      <c r="I83" s="2"/>
      <c r="J83" s="6">
        <f t="shared" si="53"/>
        <v>3.7831334267746618E-3</v>
      </c>
      <c r="K83" s="2"/>
      <c r="L83" s="7">
        <f t="shared" si="54"/>
        <v>-201.07</v>
      </c>
      <c r="M83" s="2"/>
      <c r="N83" s="6">
        <f t="shared" si="55"/>
        <v>-0.32962295081967213</v>
      </c>
      <c r="O83" s="11"/>
      <c r="P83" s="7">
        <v>1133.19</v>
      </c>
      <c r="Q83" s="2"/>
      <c r="R83" s="6">
        <f t="shared" si="56"/>
        <v>5.0380901112960022E-3</v>
      </c>
      <c r="S83" s="2"/>
      <c r="T83" s="7">
        <v>1600</v>
      </c>
      <c r="U83" s="2"/>
      <c r="V83" s="6">
        <f t="shared" si="57"/>
        <v>7.0390004619344049E-3</v>
      </c>
      <c r="W83" s="2"/>
      <c r="X83" s="7">
        <f t="shared" si="58"/>
        <v>-466.80999999999995</v>
      </c>
      <c r="Y83" s="2"/>
      <c r="Z83" s="6">
        <f t="shared" si="59"/>
        <v>-0.29175624999999994</v>
      </c>
    </row>
    <row r="84" spans="1:26" s="28" customFormat="1" outlineLevel="1" collapsed="1" x14ac:dyDescent="0.25">
      <c r="A84" s="27"/>
      <c r="B84" s="14" t="str">
        <f>CONCATENATE("     ","Supplies                                          ")</f>
        <v xml:space="preserve">     Supplies                                          </v>
      </c>
      <c r="C84" s="14"/>
      <c r="D84" s="1">
        <f>SUM(OSRRefD22_16x_0)</f>
        <v>3247.72</v>
      </c>
      <c r="E84" s="1"/>
      <c r="F84" s="5">
        <f t="shared" si="52"/>
        <v>2.2202336231689868E-2</v>
      </c>
      <c r="G84" s="1"/>
      <c r="H84" s="1">
        <f>SUM(OSRRefH22_16x_0)</f>
        <v>4805</v>
      </c>
      <c r="I84" s="1"/>
      <c r="J84" s="5">
        <f t="shared" si="53"/>
        <v>2.979992805844631E-2</v>
      </c>
      <c r="K84" s="1"/>
      <c r="L84" s="1">
        <f t="shared" si="54"/>
        <v>-1557.2800000000002</v>
      </c>
      <c r="M84" s="1"/>
      <c r="N84" s="5">
        <f t="shared" si="55"/>
        <v>-0.32409573361082211</v>
      </c>
      <c r="O84" s="14"/>
      <c r="P84" s="1">
        <f>SUM(OSRRefP22_16x_0)</f>
        <v>8941.9500000000007</v>
      </c>
      <c r="Q84" s="1"/>
      <c r="R84" s="5">
        <f t="shared" si="56"/>
        <v>3.9755336590248144E-2</v>
      </c>
      <c r="S84" s="1"/>
      <c r="T84" s="1">
        <f>SUM(OSRRefT22_16x_0)</f>
        <v>22973</v>
      </c>
      <c r="U84" s="1"/>
      <c r="V84" s="5">
        <f t="shared" si="57"/>
        <v>0.10106684850751194</v>
      </c>
      <c r="W84" s="1"/>
      <c r="X84" s="1">
        <f t="shared" si="58"/>
        <v>-14031.05</v>
      </c>
      <c r="Y84" s="1"/>
      <c r="Z84" s="5">
        <f t="shared" si="59"/>
        <v>-0.61076263439690071</v>
      </c>
    </row>
    <row r="85" spans="1:26" s="24" customFormat="1" hidden="1" outlineLevel="2" x14ac:dyDescent="0.25">
      <c r="A85" s="29"/>
      <c r="B85" s="11" t="str">
        <f>CONCATENATE("          ", "6234", " - ", "EXPENDABLE SUPPLIES &amp; EQUIPMEN")</f>
        <v xml:space="preserve">          6234 - EXPENDABLE SUPPLIES &amp; EQUIPMEN</v>
      </c>
      <c r="C85" s="11"/>
      <c r="D85" s="7"/>
      <c r="E85" s="2"/>
      <c r="F85" s="6">
        <f t="shared" si="52"/>
        <v>0</v>
      </c>
      <c r="G85" s="2"/>
      <c r="H85" s="7">
        <v>50</v>
      </c>
      <c r="I85" s="2"/>
      <c r="J85" s="6">
        <f t="shared" si="53"/>
        <v>3.1009290383398865E-4</v>
      </c>
      <c r="K85" s="2"/>
      <c r="L85" s="7">
        <f t="shared" si="54"/>
        <v>-50</v>
      </c>
      <c r="M85" s="2"/>
      <c r="N85" s="6">
        <f t="shared" si="55"/>
        <v>-1</v>
      </c>
      <c r="O85" s="11"/>
      <c r="P85" s="7"/>
      <c r="Q85" s="2"/>
      <c r="R85" s="6">
        <f t="shared" si="56"/>
        <v>0</v>
      </c>
      <c r="S85" s="2"/>
      <c r="T85" s="7">
        <v>250</v>
      </c>
      <c r="U85" s="2"/>
      <c r="V85" s="6">
        <f t="shared" si="57"/>
        <v>1.0998438221772508E-3</v>
      </c>
      <c r="W85" s="2"/>
      <c r="X85" s="7">
        <f t="shared" si="58"/>
        <v>-250</v>
      </c>
      <c r="Y85" s="2"/>
      <c r="Z85" s="6">
        <f t="shared" si="59"/>
        <v>-1</v>
      </c>
    </row>
    <row r="86" spans="1:26" s="24" customFormat="1" hidden="1" outlineLevel="2" x14ac:dyDescent="0.25">
      <c r="A86" s="29"/>
      <c r="B86" s="11" t="str">
        <f>CONCATENATE("          ", "6235", " - ", "COVID-19 EXPENSES")</f>
        <v xml:space="preserve">          6235 - COVID-19 EXPENSES</v>
      </c>
      <c r="C86" s="11"/>
      <c r="D86" s="7">
        <v>193.5</v>
      </c>
      <c r="E86" s="2"/>
      <c r="F86" s="6">
        <f t="shared" si="52"/>
        <v>1.3228209515697134E-3</v>
      </c>
      <c r="G86" s="2"/>
      <c r="H86" s="7">
        <v>250</v>
      </c>
      <c r="I86" s="2"/>
      <c r="J86" s="6">
        <f t="shared" si="53"/>
        <v>1.5504645191699432E-3</v>
      </c>
      <c r="K86" s="2"/>
      <c r="L86" s="7">
        <f t="shared" si="54"/>
        <v>-56.5</v>
      </c>
      <c r="M86" s="2"/>
      <c r="N86" s="6">
        <f t="shared" si="55"/>
        <v>-0.22600000000000001</v>
      </c>
      <c r="O86" s="11"/>
      <c r="P86" s="7">
        <v>193.5</v>
      </c>
      <c r="Q86" s="2"/>
      <c r="R86" s="6">
        <f t="shared" si="56"/>
        <v>8.602885981483921E-4</v>
      </c>
      <c r="S86" s="2"/>
      <c r="T86" s="7">
        <v>1000</v>
      </c>
      <c r="U86" s="2"/>
      <c r="V86" s="6">
        <f t="shared" si="57"/>
        <v>4.3993752887090034E-3</v>
      </c>
      <c r="W86" s="2"/>
      <c r="X86" s="7">
        <f t="shared" si="58"/>
        <v>-806.5</v>
      </c>
      <c r="Y86" s="2"/>
      <c r="Z86" s="6">
        <f t="shared" si="59"/>
        <v>-0.80649999999999999</v>
      </c>
    </row>
    <row r="87" spans="1:26" s="24" customFormat="1" hidden="1" outlineLevel="2" x14ac:dyDescent="0.25">
      <c r="A87" s="29"/>
      <c r="B87" s="11" t="str">
        <f>CONCATENATE("          ", "6237", " - ", "JANITORIAL SUPPLIES")</f>
        <v xml:space="preserve">          6237 - JANITORIAL SUPPLIES</v>
      </c>
      <c r="C87" s="11"/>
      <c r="D87" s="7">
        <v>1716.54</v>
      </c>
      <c r="E87" s="2"/>
      <c r="F87" s="6">
        <f t="shared" si="52"/>
        <v>1.1734754915800909E-2</v>
      </c>
      <c r="G87" s="2"/>
      <c r="H87" s="7">
        <v>586</v>
      </c>
      <c r="I87" s="2"/>
      <c r="J87" s="6">
        <f t="shared" si="53"/>
        <v>3.6342888329343472E-3</v>
      </c>
      <c r="K87" s="2"/>
      <c r="L87" s="7">
        <f t="shared" si="54"/>
        <v>1130.54</v>
      </c>
      <c r="M87" s="2"/>
      <c r="N87" s="6">
        <f t="shared" si="55"/>
        <v>1.9292491467576791</v>
      </c>
      <c r="O87" s="11"/>
      <c r="P87" s="7">
        <v>4171.91</v>
      </c>
      <c r="Q87" s="2"/>
      <c r="R87" s="6">
        <f t="shared" si="56"/>
        <v>1.8548044472874722E-2</v>
      </c>
      <c r="S87" s="2"/>
      <c r="T87" s="7">
        <v>2203</v>
      </c>
      <c r="U87" s="2"/>
      <c r="V87" s="6">
        <f t="shared" si="57"/>
        <v>9.6918237610259337E-3</v>
      </c>
      <c r="W87" s="2"/>
      <c r="X87" s="7">
        <f t="shared" si="58"/>
        <v>1968.9099999999999</v>
      </c>
      <c r="Y87" s="2"/>
      <c r="Z87" s="6">
        <f t="shared" si="59"/>
        <v>0.89374035406264174</v>
      </c>
    </row>
    <row r="88" spans="1:26" s="24" customFormat="1" hidden="1" outlineLevel="2" x14ac:dyDescent="0.25">
      <c r="A88" s="29"/>
      <c r="B88" s="11" t="str">
        <f>CONCATENATE("          ", "6239", " - ", "KITCHEN SUPPLIES")</f>
        <v xml:space="preserve">          6239 - KITCHEN SUPPLIES</v>
      </c>
      <c r="C88" s="11"/>
      <c r="D88" s="7">
        <v>820.56</v>
      </c>
      <c r="E88" s="2"/>
      <c r="F88" s="6">
        <f t="shared" si="52"/>
        <v>5.6095811887340776E-3</v>
      </c>
      <c r="G88" s="2"/>
      <c r="H88" s="7">
        <v>13</v>
      </c>
      <c r="I88" s="2"/>
      <c r="J88" s="6">
        <f t="shared" si="53"/>
        <v>8.0624154996837054E-5</v>
      </c>
      <c r="K88" s="2"/>
      <c r="L88" s="7">
        <f t="shared" si="54"/>
        <v>807.56</v>
      </c>
      <c r="M88" s="2"/>
      <c r="N88" s="6">
        <f t="shared" si="55"/>
        <v>62.12</v>
      </c>
      <c r="O88" s="11"/>
      <c r="P88" s="7">
        <v>1071.19</v>
      </c>
      <c r="Q88" s="2"/>
      <c r="R88" s="6">
        <f t="shared" si="56"/>
        <v>4.7624420850158975E-3</v>
      </c>
      <c r="S88" s="2"/>
      <c r="T88" s="7">
        <v>5249</v>
      </c>
      <c r="U88" s="2"/>
      <c r="V88" s="6">
        <f t="shared" si="57"/>
        <v>2.309232089043356E-2</v>
      </c>
      <c r="W88" s="2"/>
      <c r="X88" s="7">
        <f t="shared" si="58"/>
        <v>-4177.8099999999995</v>
      </c>
      <c r="Y88" s="2"/>
      <c r="Z88" s="6">
        <f t="shared" si="59"/>
        <v>-0.79592493808344433</v>
      </c>
    </row>
    <row r="89" spans="1:26" s="24" customFormat="1" hidden="1" outlineLevel="2" x14ac:dyDescent="0.25">
      <c r="A89" s="29"/>
      <c r="B89" s="11" t="str">
        <f>CONCATENATE("          ", "6241", " - ", "OFFICE EXPENSE")</f>
        <v xml:space="preserve">          6241 - OFFICE EXPENSE</v>
      </c>
      <c r="C89" s="11"/>
      <c r="D89" s="7">
        <v>194.6</v>
      </c>
      <c r="E89" s="2"/>
      <c r="F89" s="6">
        <f t="shared" si="52"/>
        <v>1.3303408639558979E-3</v>
      </c>
      <c r="G89" s="2"/>
      <c r="H89" s="7">
        <v>283</v>
      </c>
      <c r="I89" s="2"/>
      <c r="J89" s="6">
        <f t="shared" si="53"/>
        <v>1.7551258357003758E-3</v>
      </c>
      <c r="K89" s="2"/>
      <c r="L89" s="7">
        <f t="shared" si="54"/>
        <v>-88.4</v>
      </c>
      <c r="M89" s="2"/>
      <c r="N89" s="6">
        <f t="shared" si="55"/>
        <v>-0.31236749116607776</v>
      </c>
      <c r="O89" s="11"/>
      <c r="P89" s="7">
        <v>2196.6</v>
      </c>
      <c r="Q89" s="2"/>
      <c r="R89" s="6">
        <f t="shared" si="56"/>
        <v>9.7659428149496543E-3</v>
      </c>
      <c r="S89" s="2"/>
      <c r="T89" s="7">
        <v>2877</v>
      </c>
      <c r="U89" s="2"/>
      <c r="V89" s="6">
        <f t="shared" si="57"/>
        <v>1.2657002705615802E-2</v>
      </c>
      <c r="W89" s="2"/>
      <c r="X89" s="7">
        <f t="shared" si="58"/>
        <v>-680.40000000000009</v>
      </c>
      <c r="Y89" s="2"/>
      <c r="Z89" s="6">
        <f t="shared" si="59"/>
        <v>-0.23649635036496353</v>
      </c>
    </row>
    <row r="90" spans="1:26" s="24" customFormat="1" hidden="1" outlineLevel="2" x14ac:dyDescent="0.25">
      <c r="A90" s="29"/>
      <c r="B90" s="11" t="str">
        <f>CONCATENATE("          ", "6243", " - ", "PAPER SUPPLIES")</f>
        <v xml:space="preserve">          6243 - PAPER SUPPLIES</v>
      </c>
      <c r="C90" s="11"/>
      <c r="D90" s="7">
        <v>50.56</v>
      </c>
      <c r="E90" s="2"/>
      <c r="F90" s="6">
        <f t="shared" si="52"/>
        <v>3.4564251840498561E-4</v>
      </c>
      <c r="G90" s="2"/>
      <c r="H90" s="7">
        <v>1223</v>
      </c>
      <c r="I90" s="2"/>
      <c r="J90" s="6">
        <f t="shared" si="53"/>
        <v>7.5848724277793626E-3</v>
      </c>
      <c r="K90" s="2"/>
      <c r="L90" s="7">
        <f t="shared" si="54"/>
        <v>-1172.44</v>
      </c>
      <c r="M90" s="2"/>
      <c r="N90" s="6">
        <f t="shared" si="55"/>
        <v>-0.95865903515944406</v>
      </c>
      <c r="O90" s="11"/>
      <c r="P90" s="7">
        <v>536.79</v>
      </c>
      <c r="Q90" s="2"/>
      <c r="R90" s="6">
        <f t="shared" si="56"/>
        <v>2.386533935917702E-3</v>
      </c>
      <c r="S90" s="2"/>
      <c r="T90" s="7">
        <v>3233</v>
      </c>
      <c r="U90" s="2"/>
      <c r="V90" s="6">
        <f t="shared" si="57"/>
        <v>1.4223180308396208E-2</v>
      </c>
      <c r="W90" s="2"/>
      <c r="X90" s="7">
        <f t="shared" si="58"/>
        <v>-2696.21</v>
      </c>
      <c r="Y90" s="2"/>
      <c r="Z90" s="6">
        <f t="shared" si="59"/>
        <v>-0.8339653572533251</v>
      </c>
    </row>
    <row r="91" spans="1:26" s="24" customFormat="1" hidden="1" outlineLevel="2" x14ac:dyDescent="0.25">
      <c r="A91" s="29"/>
      <c r="B91" s="11" t="str">
        <f>CONCATENATE("          ", "6244", " - ", "SAFETY SUPPLY EXPENSE")</f>
        <v xml:space="preserve">          6244 - SAFETY SUPPLY EXPENSE</v>
      </c>
      <c r="C91" s="11"/>
      <c r="D91" s="7"/>
      <c r="E91" s="2"/>
      <c r="F91" s="6">
        <f t="shared" si="52"/>
        <v>0</v>
      </c>
      <c r="G91" s="2"/>
      <c r="H91" s="7"/>
      <c r="I91" s="2"/>
      <c r="J91" s="6">
        <f t="shared" si="53"/>
        <v>0</v>
      </c>
      <c r="K91" s="2"/>
      <c r="L91" s="7">
        <f t="shared" si="54"/>
        <v>0</v>
      </c>
      <c r="M91" s="2"/>
      <c r="N91" s="6">
        <f t="shared" si="55"/>
        <v>0</v>
      </c>
      <c r="O91" s="11"/>
      <c r="P91" s="7"/>
      <c r="Q91" s="2"/>
      <c r="R91" s="6">
        <f t="shared" si="56"/>
        <v>0</v>
      </c>
      <c r="S91" s="2"/>
      <c r="T91" s="7">
        <v>50</v>
      </c>
      <c r="U91" s="2"/>
      <c r="V91" s="6">
        <f t="shared" si="57"/>
        <v>2.1996876443545015E-4</v>
      </c>
      <c r="W91" s="2"/>
      <c r="X91" s="7">
        <f t="shared" si="58"/>
        <v>-50</v>
      </c>
      <c r="Y91" s="2"/>
      <c r="Z91" s="6">
        <f t="shared" si="59"/>
        <v>-1</v>
      </c>
    </row>
    <row r="92" spans="1:26" s="24" customFormat="1" hidden="1" outlineLevel="2" x14ac:dyDescent="0.25">
      <c r="A92" s="29"/>
      <c r="B92" s="11" t="str">
        <f>CONCATENATE("          ", "6245", " - ", "PRINTING")</f>
        <v xml:space="preserve">          6245 - PRINTING</v>
      </c>
      <c r="C92" s="11"/>
      <c r="D92" s="7"/>
      <c r="E92" s="2"/>
      <c r="F92" s="6">
        <f t="shared" si="52"/>
        <v>0</v>
      </c>
      <c r="G92" s="2"/>
      <c r="H92" s="7">
        <v>100</v>
      </c>
      <c r="I92" s="2"/>
      <c r="J92" s="6">
        <f t="shared" si="53"/>
        <v>6.201858076679773E-4</v>
      </c>
      <c r="K92" s="2"/>
      <c r="L92" s="7">
        <f t="shared" si="54"/>
        <v>-100</v>
      </c>
      <c r="M92" s="2"/>
      <c r="N92" s="6">
        <f t="shared" si="55"/>
        <v>-1</v>
      </c>
      <c r="O92" s="11"/>
      <c r="P92" s="7"/>
      <c r="Q92" s="2"/>
      <c r="R92" s="6">
        <f t="shared" si="56"/>
        <v>0</v>
      </c>
      <c r="S92" s="2"/>
      <c r="T92" s="7">
        <v>800</v>
      </c>
      <c r="U92" s="2"/>
      <c r="V92" s="6">
        <f t="shared" si="57"/>
        <v>3.5195002309672025E-3</v>
      </c>
      <c r="W92" s="2"/>
      <c r="X92" s="7">
        <f t="shared" si="58"/>
        <v>-800</v>
      </c>
      <c r="Y92" s="2"/>
      <c r="Z92" s="6">
        <f t="shared" si="59"/>
        <v>-1</v>
      </c>
    </row>
    <row r="93" spans="1:26" s="24" customFormat="1" hidden="1" outlineLevel="2" x14ac:dyDescent="0.25">
      <c r="A93" s="29"/>
      <c r="B93" s="11" t="str">
        <f>CONCATENATE("          ", "6247", " - ", "STORE SUPPLIES")</f>
        <v xml:space="preserve">          6247 - STORE SUPPLIES</v>
      </c>
      <c r="C93" s="11"/>
      <c r="D93" s="7">
        <v>271.95999999999998</v>
      </c>
      <c r="E93" s="2"/>
      <c r="F93" s="6">
        <f t="shared" si="52"/>
        <v>1.8591957932242854E-3</v>
      </c>
      <c r="G93" s="2"/>
      <c r="H93" s="7">
        <v>2300</v>
      </c>
      <c r="I93" s="2"/>
      <c r="J93" s="6">
        <f t="shared" si="53"/>
        <v>1.4264273576363479E-2</v>
      </c>
      <c r="K93" s="2"/>
      <c r="L93" s="7">
        <f t="shared" si="54"/>
        <v>-2028.04</v>
      </c>
      <c r="M93" s="2"/>
      <c r="N93" s="6">
        <f t="shared" si="55"/>
        <v>-0.88175652173913044</v>
      </c>
      <c r="O93" s="11"/>
      <c r="P93" s="7">
        <v>771.96</v>
      </c>
      <c r="Q93" s="2"/>
      <c r="R93" s="6">
        <f t="shared" si="56"/>
        <v>3.4320846833417718E-3</v>
      </c>
      <c r="S93" s="2"/>
      <c r="T93" s="7">
        <v>4711</v>
      </c>
      <c r="U93" s="2"/>
      <c r="V93" s="6">
        <f t="shared" si="57"/>
        <v>2.0725456985108116E-2</v>
      </c>
      <c r="W93" s="2"/>
      <c r="X93" s="7">
        <f t="shared" si="58"/>
        <v>-3939.04</v>
      </c>
      <c r="Y93" s="2"/>
      <c r="Z93" s="6">
        <f t="shared" si="59"/>
        <v>-0.83613670133729567</v>
      </c>
    </row>
    <row r="94" spans="1:26" s="24" customFormat="1" hidden="1" outlineLevel="2" x14ac:dyDescent="0.25">
      <c r="A94" s="29"/>
      <c r="B94" s="11" t="str">
        <f>CONCATENATE("          ", "6248", " - ", "UNIFORMS")</f>
        <v xml:space="preserve">          6248 - UNIFORMS</v>
      </c>
      <c r="C94" s="11"/>
      <c r="D94" s="7"/>
      <c r="E94" s="2"/>
      <c r="F94" s="6">
        <f t="shared" si="52"/>
        <v>0</v>
      </c>
      <c r="G94" s="2"/>
      <c r="H94" s="7"/>
      <c r="I94" s="2"/>
      <c r="J94" s="6">
        <f t="shared" si="53"/>
        <v>0</v>
      </c>
      <c r="K94" s="2"/>
      <c r="L94" s="7">
        <f t="shared" si="54"/>
        <v>0</v>
      </c>
      <c r="M94" s="2"/>
      <c r="N94" s="6">
        <f t="shared" si="55"/>
        <v>0</v>
      </c>
      <c r="O94" s="11"/>
      <c r="P94" s="7"/>
      <c r="Q94" s="2"/>
      <c r="R94" s="6">
        <f t="shared" si="56"/>
        <v>0</v>
      </c>
      <c r="S94" s="2"/>
      <c r="T94" s="7">
        <v>2600</v>
      </c>
      <c r="U94" s="2"/>
      <c r="V94" s="6">
        <f t="shared" si="57"/>
        <v>1.1438375750643409E-2</v>
      </c>
      <c r="W94" s="2"/>
      <c r="X94" s="7">
        <f t="shared" si="58"/>
        <v>-2600</v>
      </c>
      <c r="Y94" s="2"/>
      <c r="Z94" s="6">
        <f t="shared" si="59"/>
        <v>-1</v>
      </c>
    </row>
    <row r="95" spans="1:26" s="28" customFormat="1" outlineLevel="1" collapsed="1" x14ac:dyDescent="0.25">
      <c r="A95" s="27"/>
      <c r="B95" s="14" t="str">
        <f>CONCATENATE("     ","Telephone/Data Lines                              ")</f>
        <v xml:space="preserve">     Telephone/Data Lines                              </v>
      </c>
      <c r="C95" s="14"/>
      <c r="D95" s="1">
        <f>SUM(OSRRefD22_17x_0)</f>
        <v>1022.78</v>
      </c>
      <c r="E95" s="1"/>
      <c r="F95" s="5">
        <f t="shared" ref="F95:F97" si="60">IF(D$12=0,0,D95/D$12)</f>
        <v>6.9920145366742714E-3</v>
      </c>
      <c r="G95" s="1"/>
      <c r="H95" s="1">
        <f>SUM(OSRRefH22_17x_0)</f>
        <v>538</v>
      </c>
      <c r="I95" s="1"/>
      <c r="J95" s="5">
        <f t="shared" ref="J95:J97" si="61">IF(H$12=0,0,H95/H$12)</f>
        <v>3.3365996452537181E-3</v>
      </c>
      <c r="K95" s="1"/>
      <c r="L95" s="1">
        <f t="shared" ref="L95:L97" si="62">+D95-H95</f>
        <v>484.78</v>
      </c>
      <c r="M95" s="1"/>
      <c r="N95" s="5">
        <f t="shared" ref="N95:N97" si="63">IF(H95=0,0,L95/H95)</f>
        <v>0.9010780669144981</v>
      </c>
      <c r="O95" s="14"/>
      <c r="P95" s="1">
        <f>SUM(OSRRefP22_17x_0)</f>
        <v>2538.2800000000002</v>
      </c>
      <c r="Q95" s="1"/>
      <c r="R95" s="5">
        <f t="shared" ref="R95:R97" si="64">IF(P$12=0,0,P95/P$12)</f>
        <v>1.1285030195907498E-2</v>
      </c>
      <c r="S95" s="1"/>
      <c r="T95" s="1">
        <f>SUM(OSRRefT22_17x_0)</f>
        <v>1764</v>
      </c>
      <c r="U95" s="1"/>
      <c r="V95" s="5">
        <f t="shared" ref="V95:V97" si="65">IF(T$12=0,0,T95/T$12)</f>
        <v>7.7604980092826816E-3</v>
      </c>
      <c r="W95" s="1"/>
      <c r="X95" s="1">
        <f t="shared" ref="X95:X97" si="66">+P95-T95</f>
        <v>774.2800000000002</v>
      </c>
      <c r="Y95" s="1"/>
      <c r="Z95" s="5">
        <f t="shared" ref="Z95:Z97" si="67">IF(T95=0,0,X95/T95)</f>
        <v>0.43893424036281192</v>
      </c>
    </row>
    <row r="96" spans="1:26" s="24" customFormat="1" hidden="1" outlineLevel="2" x14ac:dyDescent="0.25">
      <c r="A96" s="29"/>
      <c r="B96" s="11" t="str">
        <f>CONCATENATE("          ", "6303", " - ", "DATA PHONE LINES")</f>
        <v xml:space="preserve">          6303 - DATA PHONE LINES</v>
      </c>
      <c r="C96" s="11"/>
      <c r="D96" s="7"/>
      <c r="E96" s="2"/>
      <c r="F96" s="6">
        <f t="shared" si="60"/>
        <v>0</v>
      </c>
      <c r="G96" s="2"/>
      <c r="H96" s="7">
        <v>185</v>
      </c>
      <c r="I96" s="2"/>
      <c r="J96" s="6">
        <f t="shared" si="61"/>
        <v>1.147343744185758E-3</v>
      </c>
      <c r="K96" s="2"/>
      <c r="L96" s="7">
        <f t="shared" si="62"/>
        <v>-185</v>
      </c>
      <c r="M96" s="2"/>
      <c r="N96" s="6">
        <f t="shared" si="63"/>
        <v>-1</v>
      </c>
      <c r="O96" s="11"/>
      <c r="P96" s="7"/>
      <c r="Q96" s="2"/>
      <c r="R96" s="6">
        <f t="shared" si="64"/>
        <v>0</v>
      </c>
      <c r="S96" s="2"/>
      <c r="T96" s="7">
        <v>555</v>
      </c>
      <c r="U96" s="2"/>
      <c r="V96" s="6">
        <f t="shared" si="65"/>
        <v>2.4416532852334968E-3</v>
      </c>
      <c r="W96" s="2"/>
      <c r="X96" s="7">
        <f t="shared" si="66"/>
        <v>-555</v>
      </c>
      <c r="Y96" s="2"/>
      <c r="Z96" s="6">
        <f t="shared" si="67"/>
        <v>-1</v>
      </c>
    </row>
    <row r="97" spans="1:26" s="24" customFormat="1" hidden="1" outlineLevel="2" x14ac:dyDescent="0.25">
      <c r="A97" s="29"/>
      <c r="B97" s="11" t="str">
        <f>CONCATENATE("          ", "6309", " - ", "TELEPHONE")</f>
        <v xml:space="preserve">          6309 - TELEPHONE</v>
      </c>
      <c r="C97" s="11"/>
      <c r="D97" s="7">
        <v>1022.78</v>
      </c>
      <c r="E97" s="2"/>
      <c r="F97" s="6">
        <f t="shared" si="60"/>
        <v>6.9920145366742714E-3</v>
      </c>
      <c r="G97" s="2"/>
      <c r="H97" s="7">
        <v>353</v>
      </c>
      <c r="I97" s="2"/>
      <c r="J97" s="6">
        <f t="shared" si="61"/>
        <v>2.18925590106796E-3</v>
      </c>
      <c r="K97" s="2"/>
      <c r="L97" s="7">
        <f t="shared" si="62"/>
        <v>669.78</v>
      </c>
      <c r="M97" s="2"/>
      <c r="N97" s="6">
        <f t="shared" si="63"/>
        <v>1.8973937677053823</v>
      </c>
      <c r="O97" s="11"/>
      <c r="P97" s="7">
        <v>2538.2800000000002</v>
      </c>
      <c r="Q97" s="2"/>
      <c r="R97" s="6">
        <f t="shared" si="64"/>
        <v>1.1285030195907498E-2</v>
      </c>
      <c r="S97" s="2"/>
      <c r="T97" s="7">
        <v>1209</v>
      </c>
      <c r="U97" s="2"/>
      <c r="V97" s="6">
        <f t="shared" si="65"/>
        <v>5.3188447240491848E-3</v>
      </c>
      <c r="W97" s="2"/>
      <c r="X97" s="7">
        <f t="shared" si="66"/>
        <v>1329.2800000000002</v>
      </c>
      <c r="Y97" s="2"/>
      <c r="Z97" s="6">
        <f t="shared" si="67"/>
        <v>1.0994871794871797</v>
      </c>
    </row>
    <row r="98" spans="1:26" s="28" customFormat="1" outlineLevel="1" collapsed="1" x14ac:dyDescent="0.25">
      <c r="A98" s="27"/>
      <c r="B98" s="14" t="str">
        <f>CONCATENATE("     ","Training                                          ")</f>
        <v xml:space="preserve">     Training                                          </v>
      </c>
      <c r="C98" s="14"/>
      <c r="D98" s="1">
        <f>SUM(OSRRefD22_18x_0)</f>
        <v>0</v>
      </c>
      <c r="E98" s="1"/>
      <c r="F98" s="5">
        <f t="shared" ref="F98:F101" si="68">IF(D$12=0,0,D98/D$12)</f>
        <v>0</v>
      </c>
      <c r="G98" s="1"/>
      <c r="H98" s="1">
        <f>SUM(OSRRefH22_18x_0)</f>
        <v>200</v>
      </c>
      <c r="I98" s="1"/>
      <c r="J98" s="5">
        <f t="shared" ref="J98:J101" si="69">IF(H$12=0,0,H98/H$12)</f>
        <v>1.2403716153359546E-3</v>
      </c>
      <c r="K98" s="1"/>
      <c r="L98" s="1">
        <f t="shared" ref="L98:L101" si="70">+D98-H98</f>
        <v>-200</v>
      </c>
      <c r="M98" s="1"/>
      <c r="N98" s="5">
        <f t="shared" ref="N98:N101" si="71">IF(H98=0,0,L98/H98)</f>
        <v>-1</v>
      </c>
      <c r="O98" s="14"/>
      <c r="P98" s="1">
        <f>SUM(OSRRefP22_18x_0)</f>
        <v>0</v>
      </c>
      <c r="Q98" s="1"/>
      <c r="R98" s="5">
        <f t="shared" ref="R98:R101" si="72">IF(P$12=0,0,P98/P$12)</f>
        <v>0</v>
      </c>
      <c r="S98" s="1"/>
      <c r="T98" s="1">
        <f>SUM(OSRRefT22_18x_0)</f>
        <v>875</v>
      </c>
      <c r="U98" s="1"/>
      <c r="V98" s="5">
        <f t="shared" ref="V98:V101" si="73">IF(T$12=0,0,T98/T$12)</f>
        <v>3.8494533776203778E-3</v>
      </c>
      <c r="W98" s="1"/>
      <c r="X98" s="1">
        <f t="shared" ref="X98:X101" si="74">+P98-T98</f>
        <v>-875</v>
      </c>
      <c r="Y98" s="1"/>
      <c r="Z98" s="5">
        <f t="shared" ref="Z98:Z101" si="75">IF(T98=0,0,X98/T98)</f>
        <v>-1</v>
      </c>
    </row>
    <row r="99" spans="1:26" s="24" customFormat="1" hidden="1" outlineLevel="2" x14ac:dyDescent="0.25">
      <c r="A99" s="29"/>
      <c r="B99" s="11" t="str">
        <f>CONCATENATE("          ", "6376", " - ", "TRAINING")</f>
        <v xml:space="preserve">          6376 - TRAINING</v>
      </c>
      <c r="C99" s="11"/>
      <c r="D99" s="7"/>
      <c r="E99" s="2"/>
      <c r="F99" s="6">
        <f t="shared" si="68"/>
        <v>0</v>
      </c>
      <c r="G99" s="2"/>
      <c r="H99" s="7">
        <v>200</v>
      </c>
      <c r="I99" s="2"/>
      <c r="J99" s="6">
        <f t="shared" si="69"/>
        <v>1.2403716153359546E-3</v>
      </c>
      <c r="K99" s="2"/>
      <c r="L99" s="7">
        <f t="shared" si="70"/>
        <v>-200</v>
      </c>
      <c r="M99" s="2"/>
      <c r="N99" s="6">
        <f t="shared" si="71"/>
        <v>-1</v>
      </c>
      <c r="O99" s="11"/>
      <c r="P99" s="7"/>
      <c r="Q99" s="2"/>
      <c r="R99" s="6">
        <f t="shared" si="72"/>
        <v>0</v>
      </c>
      <c r="S99" s="2"/>
      <c r="T99" s="7">
        <v>875</v>
      </c>
      <c r="U99" s="2"/>
      <c r="V99" s="6">
        <f t="shared" si="73"/>
        <v>3.8494533776203778E-3</v>
      </c>
      <c r="W99" s="2"/>
      <c r="X99" s="7">
        <f t="shared" si="74"/>
        <v>-875</v>
      </c>
      <c r="Y99" s="2"/>
      <c r="Z99" s="6">
        <f t="shared" si="75"/>
        <v>-1</v>
      </c>
    </row>
    <row r="100" spans="1:26" s="28" customFormat="1" outlineLevel="1" collapsed="1" x14ac:dyDescent="0.25">
      <c r="A100" s="27"/>
      <c r="B100" s="14" t="str">
        <f>CONCATENATE("     ","Utilities                                         ")</f>
        <v xml:space="preserve">     Utilities                                         </v>
      </c>
      <c r="C100" s="14"/>
      <c r="D100" s="1">
        <f>SUM(OSRRefD22_19x_0)</f>
        <v>8250</v>
      </c>
      <c r="E100" s="1"/>
      <c r="F100" s="5">
        <f t="shared" si="68"/>
        <v>5.6399342896383133E-2</v>
      </c>
      <c r="G100" s="1"/>
      <c r="H100" s="1">
        <f>SUM(OSRRefH22_19x_0)</f>
        <v>8667</v>
      </c>
      <c r="I100" s="1"/>
      <c r="J100" s="5">
        <f t="shared" si="69"/>
        <v>5.3751503950583597E-2</v>
      </c>
      <c r="K100" s="1"/>
      <c r="L100" s="1">
        <f t="shared" si="70"/>
        <v>-417</v>
      </c>
      <c r="M100" s="1"/>
      <c r="N100" s="5">
        <f t="shared" si="71"/>
        <v>-4.8113534094842508E-2</v>
      </c>
      <c r="O100" s="14"/>
      <c r="P100" s="1">
        <f>SUM(OSRRefP22_19x_0)</f>
        <v>24750</v>
      </c>
      <c r="Q100" s="1"/>
      <c r="R100" s="5">
        <f t="shared" si="72"/>
        <v>0.11003691371665481</v>
      </c>
      <c r="S100" s="1"/>
      <c r="T100" s="1">
        <f>SUM(OSRRefT22_19x_0)</f>
        <v>26001</v>
      </c>
      <c r="U100" s="1"/>
      <c r="V100" s="5">
        <f t="shared" si="73"/>
        <v>0.1143881568817228</v>
      </c>
      <c r="W100" s="1"/>
      <c r="X100" s="1">
        <f t="shared" si="74"/>
        <v>-1251</v>
      </c>
      <c r="Y100" s="1"/>
      <c r="Z100" s="5">
        <f t="shared" si="75"/>
        <v>-4.8113534094842508E-2</v>
      </c>
    </row>
    <row r="101" spans="1:26" s="24" customFormat="1" hidden="1" outlineLevel="2" x14ac:dyDescent="0.25">
      <c r="A101" s="29"/>
      <c r="B101" s="11" t="str">
        <f>CONCATENATE("          ", "6274", " - ", "UTILITIES")</f>
        <v xml:space="preserve">          6274 - UTILITIES</v>
      </c>
      <c r="C101" s="11"/>
      <c r="D101" s="7">
        <v>8250</v>
      </c>
      <c r="E101" s="2"/>
      <c r="F101" s="6">
        <f t="shared" si="68"/>
        <v>5.6399342896383133E-2</v>
      </c>
      <c r="G101" s="2"/>
      <c r="H101" s="7">
        <v>8667</v>
      </c>
      <c r="I101" s="2"/>
      <c r="J101" s="6">
        <f t="shared" si="69"/>
        <v>5.3751503950583597E-2</v>
      </c>
      <c r="K101" s="2"/>
      <c r="L101" s="7">
        <f t="shared" si="70"/>
        <v>-417</v>
      </c>
      <c r="M101" s="2"/>
      <c r="N101" s="6">
        <f t="shared" si="71"/>
        <v>-4.8113534094842508E-2</v>
      </c>
      <c r="O101" s="11"/>
      <c r="P101" s="7">
        <v>24750</v>
      </c>
      <c r="Q101" s="2"/>
      <c r="R101" s="6">
        <f t="shared" si="72"/>
        <v>0.11003691371665481</v>
      </c>
      <c r="S101" s="2"/>
      <c r="T101" s="7">
        <v>26001</v>
      </c>
      <c r="U101" s="2"/>
      <c r="V101" s="6">
        <f t="shared" si="73"/>
        <v>0.1143881568817228</v>
      </c>
      <c r="W101" s="2"/>
      <c r="X101" s="7">
        <f t="shared" si="74"/>
        <v>-1251</v>
      </c>
      <c r="Y101" s="2"/>
      <c r="Z101" s="6">
        <f t="shared" si="75"/>
        <v>-4.8113534094842508E-2</v>
      </c>
    </row>
    <row r="102" spans="1:26" s="58" customFormat="1" x14ac:dyDescent="0.25">
      <c r="A102" s="36"/>
      <c r="B102" s="36"/>
      <c r="C102" s="36"/>
      <c r="D102" s="1"/>
      <c r="E102" s="1"/>
      <c r="F102" s="5"/>
      <c r="G102" s="1"/>
      <c r="H102" s="1"/>
      <c r="I102" s="1"/>
      <c r="J102" s="5"/>
      <c r="K102" s="1"/>
      <c r="L102" s="1"/>
      <c r="M102" s="1"/>
      <c r="N102" s="5"/>
      <c r="O102" s="36"/>
      <c r="P102" s="1"/>
      <c r="Q102" s="1"/>
      <c r="R102" s="5"/>
      <c r="S102" s="1"/>
      <c r="T102" s="1"/>
      <c r="U102" s="1"/>
      <c r="V102" s="5"/>
      <c r="W102" s="1"/>
      <c r="X102" s="1"/>
      <c r="Y102" s="1"/>
      <c r="Z102" s="5"/>
    </row>
    <row r="103" spans="1:26" s="23" customFormat="1" collapsed="1" x14ac:dyDescent="0.25">
      <c r="A103" s="10"/>
      <c r="B103" s="26" t="s">
        <v>293</v>
      </c>
      <c r="C103" s="10"/>
      <c r="D103" s="4">
        <f>SUM(OSRRefD25x_0)</f>
        <v>2991.7999999999993</v>
      </c>
      <c r="E103" s="4"/>
      <c r="F103" s="12">
        <f t="shared" ref="F103:F106" si="76">IF(D$12=0,0,D103/D$12)</f>
        <v>2.0452794433624123E-2</v>
      </c>
      <c r="G103" s="4"/>
      <c r="H103" s="4">
        <f>SUM(OSRRefH25x_0)</f>
        <v>250</v>
      </c>
      <c r="I103" s="4"/>
      <c r="J103" s="12">
        <f t="shared" ref="J103:J106" si="77">IF(H$12=0,0,H103/H$12)</f>
        <v>1.5504645191699432E-3</v>
      </c>
      <c r="K103" s="4"/>
      <c r="L103" s="4">
        <f t="shared" ref="L103:L106" si="78">+D103-H103</f>
        <v>2741.7999999999993</v>
      </c>
      <c r="M103" s="4"/>
      <c r="N103" s="12">
        <f t="shared" ref="N103:N106" si="79">IF(H103=0,0,L103/H103)</f>
        <v>10.967199999999997</v>
      </c>
      <c r="O103" s="10"/>
      <c r="P103" s="4">
        <f>SUM(OSRRefP25x_0)</f>
        <v>17194.05</v>
      </c>
      <c r="Q103" s="4"/>
      <c r="R103" s="12">
        <f t="shared" ref="R103:R106" si="80">IF(P$12=0,0,P103/P$12)</f>
        <v>7.6443644294539329E-2</v>
      </c>
      <c r="S103" s="4"/>
      <c r="T103" s="4">
        <f>SUM(OSRRefT25x_0)</f>
        <v>250</v>
      </c>
      <c r="U103" s="4"/>
      <c r="V103" s="12">
        <f t="shared" ref="V103:V106" si="81">IF(T$12=0,0,T103/T$12)</f>
        <v>1.0998438221772508E-3</v>
      </c>
      <c r="W103" s="4"/>
      <c r="X103" s="4">
        <f t="shared" ref="X103:X106" si="82">+P103-T103</f>
        <v>16944.05</v>
      </c>
      <c r="Y103" s="4"/>
      <c r="Z103" s="12">
        <f t="shared" ref="Z103:Z106" si="83">IF(T103=0,0,X103/T103)</f>
        <v>67.776200000000003</v>
      </c>
    </row>
    <row r="104" spans="1:26" s="24" customFormat="1" hidden="1" outlineLevel="1" x14ac:dyDescent="0.25">
      <c r="A104" s="44"/>
      <c r="B104" s="11" t="str">
        <f>CONCATENATE("          ", "9150", " - ", "MISC. INCOME")</f>
        <v xml:space="preserve">          9150 - MISC. INCOME</v>
      </c>
      <c r="C104" s="11"/>
      <c r="D104" s="2">
        <f>--14735.43</f>
        <v>14735.43</v>
      </c>
      <c r="E104" s="2"/>
      <c r="F104" s="19">
        <f t="shared" si="76"/>
        <v>0.1007355841570486</v>
      </c>
      <c r="G104" s="2"/>
      <c r="H104" s="2">
        <v>250</v>
      </c>
      <c r="I104" s="2"/>
      <c r="J104" s="19">
        <f t="shared" si="77"/>
        <v>1.5504645191699432E-3</v>
      </c>
      <c r="K104" s="2"/>
      <c r="L104" s="2">
        <f t="shared" si="78"/>
        <v>14485.43</v>
      </c>
      <c r="M104" s="2"/>
      <c r="N104" s="19">
        <f t="shared" si="79"/>
        <v>57.941720000000004</v>
      </c>
      <c r="O104" s="11"/>
      <c r="P104" s="2">
        <f>--17194.05</f>
        <v>17194.05</v>
      </c>
      <c r="Q104" s="2"/>
      <c r="R104" s="19">
        <f t="shared" si="80"/>
        <v>7.6443644294539329E-2</v>
      </c>
      <c r="S104" s="2"/>
      <c r="T104" s="2">
        <v>250</v>
      </c>
      <c r="U104" s="2"/>
      <c r="V104" s="19">
        <f t="shared" si="81"/>
        <v>1.0998438221772508E-3</v>
      </c>
      <c r="W104" s="2"/>
      <c r="X104" s="2">
        <f t="shared" si="82"/>
        <v>16944.05</v>
      </c>
      <c r="Y104" s="2"/>
      <c r="Z104" s="19">
        <f t="shared" si="83"/>
        <v>67.776200000000003</v>
      </c>
    </row>
    <row r="105" spans="1:26" s="24" customFormat="1" hidden="1" outlineLevel="1" x14ac:dyDescent="0.25">
      <c r="A105" s="44"/>
      <c r="B105" s="11" t="str">
        <f>CONCATENATE("          ", "9160", " - ", "MISC. INCOME")</f>
        <v xml:space="preserve">          9160 - MISC. INCOME</v>
      </c>
      <c r="C105" s="11"/>
      <c r="D105" s="2">
        <f>-11238.12</f>
        <v>-11238.12</v>
      </c>
      <c r="E105" s="2"/>
      <c r="F105" s="19">
        <f t="shared" si="76"/>
        <v>-7.6826979804933485E-2</v>
      </c>
      <c r="G105" s="2"/>
      <c r="H105" s="2"/>
      <c r="I105" s="2"/>
      <c r="J105" s="19">
        <f t="shared" si="77"/>
        <v>0</v>
      </c>
      <c r="K105" s="2"/>
      <c r="L105" s="2">
        <f t="shared" si="78"/>
        <v>-11238.12</v>
      </c>
      <c r="M105" s="2"/>
      <c r="N105" s="19">
        <f t="shared" si="79"/>
        <v>0</v>
      </c>
      <c r="O105" s="11"/>
      <c r="P105" s="2">
        <f t="shared" ref="P105:P106" si="84">0</f>
        <v>0</v>
      </c>
      <c r="Q105" s="2"/>
      <c r="R105" s="19">
        <f t="shared" si="80"/>
        <v>0</v>
      </c>
      <c r="S105" s="2"/>
      <c r="T105" s="2"/>
      <c r="U105" s="2"/>
      <c r="V105" s="19">
        <f t="shared" si="81"/>
        <v>0</v>
      </c>
      <c r="W105" s="2"/>
      <c r="X105" s="2">
        <f t="shared" si="82"/>
        <v>0</v>
      </c>
      <c r="Y105" s="2"/>
      <c r="Z105" s="19">
        <f t="shared" si="83"/>
        <v>0</v>
      </c>
    </row>
    <row r="106" spans="1:26" s="24" customFormat="1" hidden="1" outlineLevel="1" x14ac:dyDescent="0.25">
      <c r="A106" s="44"/>
      <c r="B106" s="11" t="str">
        <f>CONCATENATE("          ", "9165", " - ", "OTHER INCOME")</f>
        <v xml:space="preserve">          9165 - OTHER INCOME</v>
      </c>
      <c r="C106" s="11"/>
      <c r="D106" s="2">
        <f>-505.51</f>
        <v>-505.51</v>
      </c>
      <c r="E106" s="2"/>
      <c r="F106" s="19">
        <f t="shared" si="76"/>
        <v>-3.4558099184909862E-3</v>
      </c>
      <c r="G106" s="2"/>
      <c r="H106" s="2"/>
      <c r="I106" s="2"/>
      <c r="J106" s="19">
        <f t="shared" si="77"/>
        <v>0</v>
      </c>
      <c r="K106" s="2"/>
      <c r="L106" s="2">
        <f t="shared" si="78"/>
        <v>-505.51</v>
      </c>
      <c r="M106" s="2"/>
      <c r="N106" s="19">
        <f t="shared" si="79"/>
        <v>0</v>
      </c>
      <c r="O106" s="11"/>
      <c r="P106" s="2">
        <f t="shared" si="84"/>
        <v>0</v>
      </c>
      <c r="Q106" s="2"/>
      <c r="R106" s="19">
        <f t="shared" si="80"/>
        <v>0</v>
      </c>
      <c r="S106" s="2"/>
      <c r="T106" s="2"/>
      <c r="U106" s="2"/>
      <c r="V106" s="19">
        <f t="shared" si="81"/>
        <v>0</v>
      </c>
      <c r="W106" s="2"/>
      <c r="X106" s="2">
        <f t="shared" si="82"/>
        <v>0</v>
      </c>
      <c r="Y106" s="2"/>
      <c r="Z106" s="19">
        <f t="shared" si="83"/>
        <v>0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10"/>
      <c r="B108" s="25" t="s">
        <v>277</v>
      </c>
      <c r="C108" s="25"/>
      <c r="D108" s="21">
        <f>+D25-D27+D103</f>
        <v>-102250.19000000002</v>
      </c>
      <c r="E108" s="13"/>
      <c r="F108" s="20">
        <f>IF(D$12=0,0,D108/D$12)</f>
        <v>-0.69901133660973658</v>
      </c>
      <c r="G108" s="13"/>
      <c r="H108" s="21">
        <f>+H25-H27+H103</f>
        <v>-116262.979860369</v>
      </c>
      <c r="I108" s="13"/>
      <c r="J108" s="20">
        <f>IF(H$12=0,0,H108/H$12)</f>
        <v>-0.72104650066588727</v>
      </c>
      <c r="K108" s="16"/>
      <c r="L108" s="21">
        <f>+D108-H108</f>
        <v>14012.789860368983</v>
      </c>
      <c r="M108" s="16"/>
      <c r="N108" s="20">
        <f>IF(H108=0,0,L108/H108)</f>
        <v>-0.12052667046034983</v>
      </c>
      <c r="O108" s="26"/>
      <c r="P108" s="21">
        <f>+P25-P27+P103</f>
        <v>-419026.21999999991</v>
      </c>
      <c r="Q108" s="13"/>
      <c r="R108" s="20">
        <f>IF(P$12=0,0,P108/P$12)</f>
        <v>-1.862963717784081</v>
      </c>
      <c r="S108" s="13"/>
      <c r="T108" s="21">
        <f>+T25-T27+T103</f>
        <v>-465171.80012533558</v>
      </c>
      <c r="U108" s="13"/>
      <c r="V108" s="20">
        <f>IF(T$12=0,0,T108/T$12)</f>
        <v>-2.0464653224756848</v>
      </c>
      <c r="W108" s="16"/>
      <c r="X108" s="21">
        <f>+P108-T108</f>
        <v>46145.580125335662</v>
      </c>
      <c r="Y108" s="16"/>
      <c r="Z108" s="20">
        <f>IF(T108=0,0,X108/T108)</f>
        <v>-9.9201155600795718E-2</v>
      </c>
    </row>
    <row r="109" spans="1:26" x14ac:dyDescent="0.25">
      <c r="A109" s="9"/>
      <c r="B109" s="10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52"/>
      <c r="B110" s="10" t="s">
        <v>128</v>
      </c>
      <c r="C110" s="10"/>
      <c r="D110" s="4">
        <v>16087.84</v>
      </c>
      <c r="E110" s="4"/>
      <c r="F110" s="12">
        <f>IF(D$12=0,0,D110/D$12)</f>
        <v>0.10998104298450284</v>
      </c>
      <c r="G110" s="4"/>
      <c r="H110" s="4">
        <v>17282</v>
      </c>
      <c r="I110" s="4"/>
      <c r="J110" s="12">
        <f>IF(H$12=0,0,H110/H$12)</f>
        <v>0.10718051128117984</v>
      </c>
      <c r="K110" s="4"/>
      <c r="L110" s="4">
        <f>+D110-H110</f>
        <v>-1194.1599999999999</v>
      </c>
      <c r="M110" s="4"/>
      <c r="N110" s="12">
        <f>IF(H110=0,0,L110/H110)</f>
        <v>-6.909848397176252E-2</v>
      </c>
      <c r="O110" s="10"/>
      <c r="P110" s="4">
        <v>27840.18</v>
      </c>
      <c r="Q110" s="4"/>
      <c r="R110" s="12">
        <f>IF(P$12=0,0,P110/P$12)</f>
        <v>0.12377565594004601</v>
      </c>
      <c r="S110" s="4"/>
      <c r="T110" s="4">
        <v>24680</v>
      </c>
      <c r="U110" s="4"/>
      <c r="V110" s="12">
        <f>IF(T$12=0,0,T110/T$12)</f>
        <v>0.1085765821253382</v>
      </c>
      <c r="W110" s="4"/>
      <c r="X110" s="4">
        <f>+P110-T110</f>
        <v>3160.1800000000003</v>
      </c>
      <c r="Y110" s="4"/>
      <c r="Z110" s="12">
        <f>IF(T110=0,0,X110/T110)</f>
        <v>0.12804619124797409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.75" thickBot="1" x14ac:dyDescent="0.3">
      <c r="A112" s="10"/>
      <c r="B112" s="25" t="s">
        <v>126</v>
      </c>
      <c r="C112" s="25"/>
      <c r="D112" s="33">
        <f>+D108-D110</f>
        <v>-118338.03000000001</v>
      </c>
      <c r="E112" s="13"/>
      <c r="F112" s="31">
        <f>IF(D$12=0,0,D112/D$12)</f>
        <v>-0.80899237959423931</v>
      </c>
      <c r="G112" s="13"/>
      <c r="H112" s="33">
        <f>+H108-H110</f>
        <v>-133544.979860369</v>
      </c>
      <c r="I112" s="13"/>
      <c r="J112" s="31">
        <f>IF(H$12=0,0,H112/H$12)</f>
        <v>-0.82822701194706716</v>
      </c>
      <c r="K112" s="16"/>
      <c r="L112" s="33">
        <f>D112-H112</f>
        <v>15206.949860368986</v>
      </c>
      <c r="M112" s="16"/>
      <c r="N112" s="31">
        <f>IF(H112=0,0,L112/H112)</f>
        <v>-0.11387137035228849</v>
      </c>
      <c r="O112" s="26"/>
      <c r="P112" s="33">
        <f>+P108-P110</f>
        <v>-446866.39999999991</v>
      </c>
      <c r="Q112" s="13"/>
      <c r="R112" s="31">
        <f>IF(P$12=0,0,P112/P$12)</f>
        <v>-1.986739373724127</v>
      </c>
      <c r="S112" s="13"/>
      <c r="T112" s="33">
        <f>+T108-T110</f>
        <v>-489851.80012533558</v>
      </c>
      <c r="U112" s="13"/>
      <c r="V112" s="31">
        <f>IF(T$12=0,0,T112/T$12)</f>
        <v>-2.1550419046010232</v>
      </c>
      <c r="W112" s="16"/>
      <c r="X112" s="33">
        <f>P112-T112</f>
        <v>42985.400125335669</v>
      </c>
      <c r="Y112" s="16"/>
      <c r="Z112" s="31">
        <f>IF(T112=0,0,X112/T112)</f>
        <v>-8.7751846812315973E-2</v>
      </c>
    </row>
    <row r="113" spans="1:26" ht="15.75" thickTop="1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.75" thickBot="1" x14ac:dyDescent="0.3">
      <c r="A115" s="10"/>
      <c r="B115" s="25" t="s">
        <v>294</v>
      </c>
      <c r="C115" s="25"/>
      <c r="D115" s="35">
        <f>SUM(D112:D114)</f>
        <v>-118338.03000000001</v>
      </c>
      <c r="E115" s="13"/>
      <c r="F115" s="34">
        <f>IF(D$12=0,0,D115/D$12)</f>
        <v>-0.80899237959423931</v>
      </c>
      <c r="G115" s="13"/>
      <c r="H115" s="35">
        <f>SUM(H112:H114)</f>
        <v>-133544.979860369</v>
      </c>
      <c r="I115" s="13"/>
      <c r="J115" s="34">
        <f>IF(H$12=0,0,H115/H$12)</f>
        <v>-0.82822701194706716</v>
      </c>
      <c r="K115" s="16"/>
      <c r="L115" s="35">
        <f>+D115-H115</f>
        <v>15206.949860368986</v>
      </c>
      <c r="M115" s="16"/>
      <c r="N115" s="34">
        <f>IF(H115=0,0,L115/H115)</f>
        <v>-0.11387137035228849</v>
      </c>
      <c r="O115" s="26"/>
      <c r="P115" s="35">
        <f>SUM(P112:P114)</f>
        <v>-446866.39999999991</v>
      </c>
      <c r="Q115" s="13"/>
      <c r="R115" s="34">
        <f>IF(P$12=0,0,P115/P$12)</f>
        <v>-1.986739373724127</v>
      </c>
      <c r="S115" s="13"/>
      <c r="T115" s="35">
        <f>SUM(T112:T114)</f>
        <v>-489851.80012533558</v>
      </c>
      <c r="U115" s="13"/>
      <c r="V115" s="34">
        <f>IF(T$12=0,0,T115/T$12)</f>
        <v>-2.1550419046010232</v>
      </c>
      <c r="W115" s="16"/>
      <c r="X115" s="35">
        <f>+P115-T115</f>
        <v>42985.400125335669</v>
      </c>
      <c r="Y115" s="16"/>
      <c r="Z115" s="34">
        <f>IF(T115=0,0,X115/T115)</f>
        <v>-8.7751846812315973E-2</v>
      </c>
    </row>
    <row r="116" spans="1:26" ht="15.75" thickTop="1" x14ac:dyDescent="0.25">
      <c r="A116" s="9"/>
      <c r="C116" s="9"/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  <row r="117" spans="1:26" x14ac:dyDescent="0.25">
      <c r="A117" s="9"/>
      <c r="B117" s="61">
        <v>44481.978918368055</v>
      </c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  <row r="118" spans="1:26" x14ac:dyDescent="0.25">
      <c r="A118" s="9"/>
      <c r="B118" s="56" t="s">
        <v>56</v>
      </c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  <row r="119" spans="1:26" x14ac:dyDescent="0.25">
      <c r="A119" s="9"/>
      <c r="B119" s="54"/>
      <c r="D119" s="18"/>
      <c r="E119" s="18"/>
      <c r="G119" s="18"/>
      <c r="H119" s="18"/>
      <c r="I119" s="18"/>
      <c r="J119" s="43"/>
      <c r="K119" s="18"/>
      <c r="L119" s="18"/>
      <c r="M119" s="18"/>
      <c r="P119" s="18"/>
      <c r="Q119" s="18"/>
      <c r="R119" s="43"/>
      <c r="S119" s="18"/>
      <c r="T119" s="18"/>
      <c r="U119" s="18"/>
      <c r="V119" s="43"/>
      <c r="W119" s="18"/>
      <c r="X119" s="18"/>
    </row>
    <row r="120" spans="1:26" x14ac:dyDescent="0.25">
      <c r="D120" s="18"/>
      <c r="E120" s="18"/>
      <c r="G120" s="18"/>
      <c r="H120" s="18"/>
      <c r="I120" s="18"/>
      <c r="J120" s="43"/>
      <c r="K120" s="18"/>
      <c r="L120" s="18"/>
      <c r="M120" s="18"/>
      <c r="P120" s="18"/>
      <c r="Q120" s="18"/>
      <c r="R120" s="43"/>
      <c r="S120" s="18"/>
      <c r="T120" s="18"/>
      <c r="U120" s="18"/>
      <c r="V120" s="43"/>
      <c r="W120" s="18"/>
      <c r="X120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  <outlinePr summaryBelow="0" summaryRight="0"/>
  </sheetPr>
  <dimension ref="A2:Z11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106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130165.4</v>
      </c>
      <c r="E12" s="4"/>
      <c r="F12" s="12"/>
      <c r="G12" s="4"/>
      <c r="H12" s="4">
        <f>SUM(OSRRefH13x_0)</f>
        <v>119741</v>
      </c>
      <c r="I12" s="4"/>
      <c r="J12" s="12"/>
      <c r="K12" s="4"/>
      <c r="L12" s="4">
        <f t="shared" ref="L12:L16" si="0">+D12-H12</f>
        <v>10424.399999999994</v>
      </c>
      <c r="M12" s="4"/>
      <c r="N12" s="12">
        <f t="shared" ref="N12:N16" si="1">IF(H12=0,0,L12/H12)</f>
        <v>8.7057899967429658E-2</v>
      </c>
      <c r="O12" s="10"/>
      <c r="P12" s="4">
        <f>SUM(OSRRefP13x_0)</f>
        <v>202146.48</v>
      </c>
      <c r="Q12" s="4"/>
      <c r="R12" s="12"/>
      <c r="S12" s="4"/>
      <c r="T12" s="4">
        <f>SUM(OSRRefT13x_0)</f>
        <v>173290</v>
      </c>
      <c r="U12" s="4"/>
      <c r="V12" s="12"/>
      <c r="W12" s="4"/>
      <c r="X12" s="4">
        <f t="shared" ref="X12:X16" si="2">+P12-T12</f>
        <v>28856.48000000001</v>
      </c>
      <c r="Y12" s="4"/>
      <c r="Z12" s="12">
        <f t="shared" ref="Z12:Z16" si="3">IF(T12=0,0,X12/T12)</f>
        <v>0.16652132263835195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36592</v>
      </c>
      <c r="I13" s="2"/>
      <c r="J13" s="19"/>
      <c r="K13" s="2"/>
      <c r="L13" s="2">
        <f t="shared" si="0"/>
        <v>-36592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53638</v>
      </c>
      <c r="U13" s="2"/>
      <c r="V13" s="19"/>
      <c r="W13" s="2"/>
      <c r="X13" s="2">
        <f t="shared" si="2"/>
        <v>-53638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--33705.87</f>
        <v>33705.870000000003</v>
      </c>
      <c r="E14" s="2"/>
      <c r="F14" s="19"/>
      <c r="G14" s="2"/>
      <c r="H14" s="2"/>
      <c r="I14" s="2"/>
      <c r="J14" s="19"/>
      <c r="K14" s="2"/>
      <c r="L14" s="2">
        <f t="shared" si="0"/>
        <v>33705.870000000003</v>
      </c>
      <c r="M14" s="2"/>
      <c r="N14" s="19">
        <f t="shared" si="1"/>
        <v>0</v>
      </c>
      <c r="O14" s="11"/>
      <c r="P14" s="2">
        <f>--64976.31</f>
        <v>64976.31</v>
      </c>
      <c r="Q14" s="2"/>
      <c r="R14" s="19"/>
      <c r="S14" s="2"/>
      <c r="T14" s="2"/>
      <c r="U14" s="2"/>
      <c r="V14" s="19"/>
      <c r="W14" s="2"/>
      <c r="X14" s="2">
        <f t="shared" si="2"/>
        <v>64976.31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83149</v>
      </c>
      <c r="I15" s="2"/>
      <c r="J15" s="19"/>
      <c r="K15" s="2"/>
      <c r="L15" s="2">
        <f t="shared" si="0"/>
        <v>-83149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119652</v>
      </c>
      <c r="U15" s="2"/>
      <c r="V15" s="19"/>
      <c r="W15" s="2"/>
      <c r="X15" s="2">
        <f t="shared" si="2"/>
        <v>-119652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--96459.53</f>
        <v>96459.53</v>
      </c>
      <c r="E16" s="2"/>
      <c r="F16" s="19"/>
      <c r="G16" s="2"/>
      <c r="H16" s="2"/>
      <c r="I16" s="2"/>
      <c r="J16" s="19"/>
      <c r="K16" s="2"/>
      <c r="L16" s="2">
        <f t="shared" si="0"/>
        <v>96459.53</v>
      </c>
      <c r="M16" s="2"/>
      <c r="N16" s="19">
        <f t="shared" si="1"/>
        <v>0</v>
      </c>
      <c r="O16" s="11"/>
      <c r="P16" s="2">
        <f>--137170.17</f>
        <v>137170.17000000001</v>
      </c>
      <c r="Q16" s="2"/>
      <c r="R16" s="19"/>
      <c r="S16" s="2"/>
      <c r="T16" s="2"/>
      <c r="U16" s="2"/>
      <c r="V16" s="19"/>
      <c r="W16" s="2"/>
      <c r="X16" s="2">
        <f t="shared" si="2"/>
        <v>137170.17000000001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257</v>
      </c>
      <c r="C18" s="10"/>
      <c r="D18" s="4">
        <f>SUM(OSRRefD16x_0)</f>
        <v>51153.03</v>
      </c>
      <c r="E18" s="4"/>
      <c r="F18" s="12">
        <f t="shared" ref="F18:F21" si="4">IF(D$12=0,0,D18/D$12)</f>
        <v>0.39298484850812887</v>
      </c>
      <c r="G18" s="4"/>
      <c r="H18" s="4">
        <f>SUM(OSRRefH16x_0)</f>
        <v>42081</v>
      </c>
      <c r="I18" s="4"/>
      <c r="J18" s="12">
        <f t="shared" ref="J18:J21" si="5">IF(H$12=0,0,H18/H$12)</f>
        <v>0.35143351066050893</v>
      </c>
      <c r="K18" s="4"/>
      <c r="L18" s="4">
        <f t="shared" ref="L18:L21" si="6">+D18-H18</f>
        <v>9072.0299999999988</v>
      </c>
      <c r="M18" s="4"/>
      <c r="N18" s="12">
        <f t="shared" ref="N18:N21" si="7">IF(H18=0,0,L18/H18)</f>
        <v>0.21558494332359018</v>
      </c>
      <c r="O18" s="10"/>
      <c r="P18" s="4">
        <f>SUM(OSRRefP16x_0)</f>
        <v>70349.460000000006</v>
      </c>
      <c r="Q18" s="4"/>
      <c r="R18" s="12">
        <f t="shared" ref="R18:R21" si="8">IF(P$12=0,0,P18/P$12)</f>
        <v>0.34801229286802327</v>
      </c>
      <c r="S18" s="4"/>
      <c r="T18" s="4">
        <f>SUM(OSRRefT16x_0)</f>
        <v>62443</v>
      </c>
      <c r="U18" s="4"/>
      <c r="V18" s="12">
        <f t="shared" ref="V18:V21" si="9">IF(T$12=0,0,T18/T$12)</f>
        <v>0.36033816146344277</v>
      </c>
      <c r="W18" s="4"/>
      <c r="X18" s="4">
        <f t="shared" ref="X18:X21" si="10">+P18-T18</f>
        <v>7906.4600000000064</v>
      </c>
      <c r="Y18" s="4"/>
      <c r="Z18" s="12">
        <f t="shared" ref="Z18:Z21" si="11">IF(T18=0,0,X18/T18)</f>
        <v>0.12661883637877755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42081</v>
      </c>
      <c r="I19" s="2"/>
      <c r="J19" s="19">
        <f t="shared" si="5"/>
        <v>0.35143351066050893</v>
      </c>
      <c r="K19" s="2"/>
      <c r="L19" s="2">
        <f t="shared" si="6"/>
        <v>-42081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62443</v>
      </c>
      <c r="U19" s="2"/>
      <c r="V19" s="19">
        <f t="shared" si="9"/>
        <v>0.36033816146344277</v>
      </c>
      <c r="W19" s="2"/>
      <c r="X19" s="2">
        <f t="shared" si="10"/>
        <v>-62443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39127.43</v>
      </c>
      <c r="E20" s="2"/>
      <c r="F20" s="19">
        <f t="shared" si="4"/>
        <v>0.3005977779041128</v>
      </c>
      <c r="G20" s="2"/>
      <c r="H20" s="2"/>
      <c r="I20" s="2"/>
      <c r="J20" s="19">
        <f t="shared" si="5"/>
        <v>0</v>
      </c>
      <c r="K20" s="2"/>
      <c r="L20" s="2">
        <f t="shared" si="6"/>
        <v>39127.43</v>
      </c>
      <c r="M20" s="2"/>
      <c r="N20" s="19">
        <f t="shared" si="7"/>
        <v>0</v>
      </c>
      <c r="O20" s="11"/>
      <c r="P20" s="2">
        <v>84498.86</v>
      </c>
      <c r="Q20" s="2"/>
      <c r="R20" s="19">
        <f t="shared" si="8"/>
        <v>0.41800807018751945</v>
      </c>
      <c r="S20" s="2"/>
      <c r="T20" s="2"/>
      <c r="U20" s="2"/>
      <c r="V20" s="19">
        <f t="shared" si="9"/>
        <v>0</v>
      </c>
      <c r="W20" s="2"/>
      <c r="X20" s="2">
        <f t="shared" si="10"/>
        <v>84498.86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12025.6</v>
      </c>
      <c r="E21" s="2"/>
      <c r="F21" s="19">
        <f t="shared" si="4"/>
        <v>9.238707060401613E-2</v>
      </c>
      <c r="G21" s="2"/>
      <c r="H21" s="2"/>
      <c r="I21" s="2"/>
      <c r="J21" s="19">
        <f t="shared" si="5"/>
        <v>0</v>
      </c>
      <c r="K21" s="2"/>
      <c r="L21" s="2">
        <f t="shared" si="6"/>
        <v>12025.6</v>
      </c>
      <c r="M21" s="2"/>
      <c r="N21" s="19">
        <f t="shared" si="7"/>
        <v>0</v>
      </c>
      <c r="O21" s="11"/>
      <c r="P21" s="2">
        <v>-14149.4</v>
      </c>
      <c r="Q21" s="2"/>
      <c r="R21" s="19">
        <f t="shared" si="8"/>
        <v>-6.999577731949623E-2</v>
      </c>
      <c r="S21" s="2"/>
      <c r="T21" s="2"/>
      <c r="U21" s="2"/>
      <c r="V21" s="19">
        <f t="shared" si="9"/>
        <v>0</v>
      </c>
      <c r="W21" s="2"/>
      <c r="X21" s="2">
        <f t="shared" si="10"/>
        <v>-14149.4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108</v>
      </c>
      <c r="C23" s="25"/>
      <c r="D23" s="21">
        <f>D12-D18</f>
        <v>79012.37</v>
      </c>
      <c r="E23" s="13"/>
      <c r="F23" s="20">
        <f>IF(D$12=0,0,D23/D$12)</f>
        <v>0.60701515149187113</v>
      </c>
      <c r="G23" s="13"/>
      <c r="H23" s="21">
        <f>H12-H18</f>
        <v>77660</v>
      </c>
      <c r="I23" s="13"/>
      <c r="J23" s="20">
        <f>IF(H$12=0,0,H23/H$12)</f>
        <v>0.64856648933949101</v>
      </c>
      <c r="K23" s="16"/>
      <c r="L23" s="21">
        <f>+D23-H23</f>
        <v>1352.3699999999953</v>
      </c>
      <c r="M23" s="16"/>
      <c r="N23" s="20">
        <f>IF(H23=0,0,L23/H23)</f>
        <v>1.7413984032964142E-2</v>
      </c>
      <c r="O23" s="26"/>
      <c r="P23" s="21">
        <f>P12-P18</f>
        <v>131797.02000000002</v>
      </c>
      <c r="Q23" s="13"/>
      <c r="R23" s="20">
        <f>IF(P$12=0,0,P23/P$12)</f>
        <v>0.65198770713197685</v>
      </c>
      <c r="S23" s="13"/>
      <c r="T23" s="21">
        <f>T12-T18</f>
        <v>110847</v>
      </c>
      <c r="U23" s="13"/>
      <c r="V23" s="20">
        <f>IF(T$12=0,0,T23/T$12)</f>
        <v>0.63966183853655723</v>
      </c>
      <c r="W23" s="16"/>
      <c r="X23" s="21">
        <f>+P23-T23</f>
        <v>20950.020000000019</v>
      </c>
      <c r="Y23" s="16"/>
      <c r="Z23" s="20">
        <f>IF(T23=0,0,X23/T23)</f>
        <v>0.18899943164902991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295</v>
      </c>
      <c r="C25" s="10"/>
      <c r="D25" s="22">
        <f>SUM(OSRRefD22x_0)</f>
        <v>173920.12</v>
      </c>
      <c r="E25" s="22"/>
      <c r="F25" s="32">
        <f t="shared" ref="F25:F35" si="12">IF(D$12=0,0,D25/D$12)</f>
        <v>1.3361470867066056</v>
      </c>
      <c r="G25" s="22"/>
      <c r="H25" s="22">
        <f>SUM(OSRRefH22x_0)</f>
        <v>173043.14844806131</v>
      </c>
      <c r="I25" s="22"/>
      <c r="J25" s="32">
        <f t="shared" ref="J25:J35" si="13">IF(H$12=0,0,H25/H$12)</f>
        <v>1.4451453424312584</v>
      </c>
      <c r="K25" s="4"/>
      <c r="L25" s="22">
        <f t="shared" ref="L25:L35" si="14">+D25-H25</f>
        <v>876.97155193868093</v>
      </c>
      <c r="M25" s="4"/>
      <c r="N25" s="32">
        <f t="shared" ref="N25:N35" si="15">IF(H25=0,0,L25/H25)</f>
        <v>5.0679357131663775E-3</v>
      </c>
      <c r="O25" s="10"/>
      <c r="P25" s="22">
        <f>SUM(OSRRefP22x_0)</f>
        <v>521090.31000000006</v>
      </c>
      <c r="Q25" s="22"/>
      <c r="R25" s="32">
        <f t="shared" ref="R25:R35" si="16">IF(P$12=0,0,P25/P$12)</f>
        <v>2.5777857225117153</v>
      </c>
      <c r="S25" s="22"/>
      <c r="T25" s="22">
        <f>SUM(OSRRefT22x_0)</f>
        <v>506369.0396103356</v>
      </c>
      <c r="U25" s="22"/>
      <c r="V25" s="32">
        <f t="shared" ref="V25:V35" si="17">IF(T$12=0,0,T25/T$12)</f>
        <v>2.9220903664974065</v>
      </c>
      <c r="W25" s="4"/>
      <c r="X25" s="22">
        <f t="shared" ref="X25:X35" si="18">+P25-T25</f>
        <v>14721.270389664453</v>
      </c>
      <c r="Y25" s="4"/>
      <c r="Z25" s="32">
        <f t="shared" ref="Z25:Z35" si="19">IF(T25=0,0,X25/T25)</f>
        <v>2.907221658139459E-2</v>
      </c>
    </row>
    <row r="26" spans="1:26" s="28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28558.69</v>
      </c>
      <c r="E26" s="1"/>
      <c r="F26" s="5">
        <f t="shared" si="12"/>
        <v>0.21940308253959961</v>
      </c>
      <c r="G26" s="1"/>
      <c r="H26" s="1">
        <f>SUM(OSRRefH22_0x_0)</f>
        <v>27315.685908061321</v>
      </c>
      <c r="I26" s="1"/>
      <c r="J26" s="5">
        <f t="shared" si="13"/>
        <v>0.22812308155152639</v>
      </c>
      <c r="K26" s="1"/>
      <c r="L26" s="1">
        <f t="shared" si="14"/>
        <v>1243.0040919386774</v>
      </c>
      <c r="M26" s="1"/>
      <c r="N26" s="5">
        <f t="shared" si="15"/>
        <v>4.5505139285989739E-2</v>
      </c>
      <c r="O26" s="14"/>
      <c r="P26" s="1">
        <f>SUM(OSRRefP22_0x_0)</f>
        <v>81808.61</v>
      </c>
      <c r="Q26" s="1"/>
      <c r="R26" s="5">
        <f t="shared" si="16"/>
        <v>0.40469965146066356</v>
      </c>
      <c r="S26" s="1"/>
      <c r="T26" s="1">
        <f>SUM(OSRRefT22_0x_0)</f>
        <v>82879.183995335596</v>
      </c>
      <c r="U26" s="1"/>
      <c r="V26" s="5">
        <f t="shared" si="17"/>
        <v>0.47826870561103119</v>
      </c>
      <c r="W26" s="1"/>
      <c r="X26" s="1">
        <f t="shared" si="18"/>
        <v>-1070.5739953355951</v>
      </c>
      <c r="Y26" s="1"/>
      <c r="Z26" s="5">
        <f t="shared" si="19"/>
        <v>-1.2917284458252467E-2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7">
        <v>4304.3900000000003</v>
      </c>
      <c r="E27" s="2"/>
      <c r="F27" s="6">
        <f t="shared" si="12"/>
        <v>3.3068618849556031E-2</v>
      </c>
      <c r="G27" s="2"/>
      <c r="H27" s="7">
        <v>3395.3340808306102</v>
      </c>
      <c r="I27" s="2"/>
      <c r="J27" s="6">
        <f t="shared" si="13"/>
        <v>2.8355651621671859E-2</v>
      </c>
      <c r="K27" s="2"/>
      <c r="L27" s="7">
        <f t="shared" si="14"/>
        <v>909.05591916939011</v>
      </c>
      <c r="M27" s="2"/>
      <c r="N27" s="6">
        <f t="shared" si="15"/>
        <v>0.2677368110259728</v>
      </c>
      <c r="O27" s="11"/>
      <c r="P27" s="7">
        <v>11759.55</v>
      </c>
      <c r="Q27" s="2"/>
      <c r="R27" s="6">
        <f t="shared" si="16"/>
        <v>5.8173409697759755E-2</v>
      </c>
      <c r="S27" s="2"/>
      <c r="T27" s="7">
        <v>10916.212161951</v>
      </c>
      <c r="U27" s="2"/>
      <c r="V27" s="6">
        <f t="shared" si="17"/>
        <v>6.2993895562069357E-2</v>
      </c>
      <c r="W27" s="2"/>
      <c r="X27" s="7">
        <f t="shared" si="18"/>
        <v>843.3378380489994</v>
      </c>
      <c r="Y27" s="2"/>
      <c r="Z27" s="6">
        <f t="shared" si="19"/>
        <v>7.7255537501231E-2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>
        <v>2167.5</v>
      </c>
      <c r="E28" s="2"/>
      <c r="F28" s="6">
        <f t="shared" si="12"/>
        <v>1.665189059458197E-2</v>
      </c>
      <c r="G28" s="2"/>
      <c r="H28" s="7">
        <v>2633.7867308569198</v>
      </c>
      <c r="I28" s="2"/>
      <c r="J28" s="6">
        <f t="shared" si="13"/>
        <v>2.1995696802740244E-2</v>
      </c>
      <c r="K28" s="2"/>
      <c r="L28" s="7">
        <f t="shared" si="14"/>
        <v>-466.2867308569198</v>
      </c>
      <c r="M28" s="2"/>
      <c r="N28" s="6">
        <f t="shared" si="15"/>
        <v>-0.1770404282905664</v>
      </c>
      <c r="O28" s="11"/>
      <c r="P28" s="7">
        <v>4866.3500000000004</v>
      </c>
      <c r="Q28" s="2"/>
      <c r="R28" s="6">
        <f t="shared" si="16"/>
        <v>2.4073384804919679E-2</v>
      </c>
      <c r="S28" s="2"/>
      <c r="T28" s="7">
        <v>6957.6307099300002</v>
      </c>
      <c r="U28" s="2"/>
      <c r="V28" s="6">
        <f t="shared" si="17"/>
        <v>4.0150214726354667E-2</v>
      </c>
      <c r="W28" s="2"/>
      <c r="X28" s="7">
        <f t="shared" si="18"/>
        <v>-2091.2807099299998</v>
      </c>
      <c r="Y28" s="2"/>
      <c r="Z28" s="6">
        <f t="shared" si="19"/>
        <v>-0.3005736862327722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7">
        <v>12646.1</v>
      </c>
      <c r="E29" s="2"/>
      <c r="F29" s="6">
        <f t="shared" si="12"/>
        <v>9.7154082421288618E-2</v>
      </c>
      <c r="G29" s="2"/>
      <c r="H29" s="7">
        <v>13100.1538461538</v>
      </c>
      <c r="I29" s="2"/>
      <c r="J29" s="6">
        <f t="shared" si="13"/>
        <v>0.1094040791888643</v>
      </c>
      <c r="K29" s="2"/>
      <c r="L29" s="7">
        <f t="shared" si="14"/>
        <v>-454.0538461537999</v>
      </c>
      <c r="M29" s="2"/>
      <c r="N29" s="6">
        <f t="shared" si="15"/>
        <v>-3.4660191894395953E-2</v>
      </c>
      <c r="O29" s="11"/>
      <c r="P29" s="7">
        <v>37149.78</v>
      </c>
      <c r="Q29" s="2"/>
      <c r="R29" s="6">
        <f t="shared" si="16"/>
        <v>0.18377653669754723</v>
      </c>
      <c r="S29" s="2"/>
      <c r="T29" s="7">
        <v>40739.5846153846</v>
      </c>
      <c r="U29" s="2"/>
      <c r="V29" s="6">
        <f t="shared" si="17"/>
        <v>0.23509483879845691</v>
      </c>
      <c r="W29" s="2"/>
      <c r="X29" s="7">
        <f t="shared" si="18"/>
        <v>-3589.8046153846008</v>
      </c>
      <c r="Y29" s="2"/>
      <c r="Z29" s="6">
        <f t="shared" si="19"/>
        <v>-8.8115886533339197E-2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186.82</v>
      </c>
      <c r="E30" s="2"/>
      <c r="F30" s="6">
        <f t="shared" si="12"/>
        <v>1.4352508423897594E-3</v>
      </c>
      <c r="G30" s="2"/>
      <c r="H30" s="7">
        <v>145.93541252769199</v>
      </c>
      <c r="I30" s="2"/>
      <c r="J30" s="6">
        <f t="shared" si="13"/>
        <v>1.2187589257455006E-3</v>
      </c>
      <c r="K30" s="2"/>
      <c r="L30" s="7">
        <f t="shared" si="14"/>
        <v>40.884587472307999</v>
      </c>
      <c r="M30" s="2"/>
      <c r="N30" s="6">
        <f t="shared" si="15"/>
        <v>0.28015535615490134</v>
      </c>
      <c r="O30" s="11"/>
      <c r="P30" s="7">
        <v>439.49</v>
      </c>
      <c r="Q30" s="2"/>
      <c r="R30" s="6">
        <f t="shared" si="16"/>
        <v>2.174116511947178E-3</v>
      </c>
      <c r="S30" s="2"/>
      <c r="T30" s="7">
        <v>385.51515806999998</v>
      </c>
      <c r="U30" s="2"/>
      <c r="V30" s="6">
        <f t="shared" si="17"/>
        <v>2.2246820824629232E-3</v>
      </c>
      <c r="W30" s="2"/>
      <c r="X30" s="7">
        <f t="shared" si="18"/>
        <v>53.974841930000025</v>
      </c>
      <c r="Y30" s="2"/>
      <c r="Z30" s="6">
        <f t="shared" si="19"/>
        <v>0.14000705497603166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7">
        <v>3152.51</v>
      </c>
      <c r="E31" s="2"/>
      <c r="F31" s="6">
        <f t="shared" si="12"/>
        <v>2.4219262569008356E-2</v>
      </c>
      <c r="G31" s="2"/>
      <c r="H31" s="7">
        <v>2348.8135430769198</v>
      </c>
      <c r="I31" s="2"/>
      <c r="J31" s="6">
        <f t="shared" si="13"/>
        <v>1.9615783591893501E-2</v>
      </c>
      <c r="K31" s="2"/>
      <c r="L31" s="7">
        <f t="shared" si="14"/>
        <v>803.6964569230804</v>
      </c>
      <c r="M31" s="2"/>
      <c r="N31" s="6">
        <f t="shared" si="15"/>
        <v>0.34217124611357908</v>
      </c>
      <c r="O31" s="11"/>
      <c r="P31" s="7">
        <v>9294.0499999999993</v>
      </c>
      <c r="Q31" s="2"/>
      <c r="R31" s="6">
        <f t="shared" si="16"/>
        <v>4.5976808500449766E-2</v>
      </c>
      <c r="S31" s="2"/>
      <c r="T31" s="7">
        <v>7633.6440150000099</v>
      </c>
      <c r="U31" s="2"/>
      <c r="V31" s="6">
        <f t="shared" si="17"/>
        <v>4.405126674937971E-2</v>
      </c>
      <c r="W31" s="2"/>
      <c r="X31" s="7">
        <f t="shared" si="18"/>
        <v>1660.4059849999894</v>
      </c>
      <c r="Y31" s="2"/>
      <c r="Z31" s="6">
        <f t="shared" si="19"/>
        <v>0.21751158185229932</v>
      </c>
    </row>
    <row r="32" spans="1:26" s="24" customFormat="1" hidden="1" outlineLevel="2" x14ac:dyDescent="0.25">
      <c r="A32" s="29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9"/>
      <c r="B33" s="11" t="str">
        <f>CONCATENATE("          ", "6118", " - ", "VACATION")</f>
        <v xml:space="preserve">          6118 - VACATION</v>
      </c>
      <c r="C33" s="11"/>
      <c r="D33" s="7">
        <v>2982.74</v>
      </c>
      <c r="E33" s="2"/>
      <c r="F33" s="6">
        <f t="shared" si="12"/>
        <v>2.2914998916762824E-2</v>
      </c>
      <c r="G33" s="2"/>
      <c r="H33" s="7">
        <v>2274.5120883076902</v>
      </c>
      <c r="I33" s="2"/>
      <c r="J33" s="6">
        <f t="shared" si="13"/>
        <v>1.8995265517305602E-2</v>
      </c>
      <c r="K33" s="2"/>
      <c r="L33" s="7">
        <f t="shared" si="14"/>
        <v>708.22791169230959</v>
      </c>
      <c r="M33" s="2"/>
      <c r="N33" s="6">
        <f t="shared" si="15"/>
        <v>0.3113757518955434</v>
      </c>
      <c r="O33" s="11"/>
      <c r="P33" s="7">
        <v>8911.18</v>
      </c>
      <c r="Q33" s="2"/>
      <c r="R33" s="6">
        <f t="shared" si="16"/>
        <v>4.408278590851545E-2</v>
      </c>
      <c r="S33" s="2"/>
      <c r="T33" s="7">
        <v>7384.3756510000003</v>
      </c>
      <c r="U33" s="2"/>
      <c r="V33" s="6">
        <f t="shared" si="17"/>
        <v>4.2612820422413294E-2</v>
      </c>
      <c r="W33" s="2"/>
      <c r="X33" s="7">
        <f t="shared" si="18"/>
        <v>1526.804349</v>
      </c>
      <c r="Y33" s="2"/>
      <c r="Z33" s="6">
        <f t="shared" si="19"/>
        <v>0.20676146788296698</v>
      </c>
    </row>
    <row r="34" spans="1:26" s="24" customFormat="1" hidden="1" outlineLevel="2" x14ac:dyDescent="0.25">
      <c r="A34" s="29"/>
      <c r="B34" s="11" t="str">
        <f>CONCATENATE("          ", "6119", " - ", "SICK LEAVE")</f>
        <v xml:space="preserve">          6119 - SICK LEAVE</v>
      </c>
      <c r="C34" s="11"/>
      <c r="D34" s="7">
        <v>1922.83</v>
      </c>
      <c r="E34" s="2"/>
      <c r="F34" s="6">
        <f t="shared" si="12"/>
        <v>1.4772205209679378E-2</v>
      </c>
      <c r="G34" s="2"/>
      <c r="H34" s="7">
        <v>1296.15020630769</v>
      </c>
      <c r="I34" s="2"/>
      <c r="J34" s="6">
        <f t="shared" si="13"/>
        <v>1.0824614846273959E-2</v>
      </c>
      <c r="K34" s="2"/>
      <c r="L34" s="7">
        <f t="shared" si="14"/>
        <v>626.67979369230989</v>
      </c>
      <c r="M34" s="2"/>
      <c r="N34" s="6">
        <f t="shared" si="15"/>
        <v>0.48349318670211577</v>
      </c>
      <c r="O34" s="11"/>
      <c r="P34" s="7">
        <v>5733.27</v>
      </c>
      <c r="Q34" s="2"/>
      <c r="R34" s="6">
        <f t="shared" si="16"/>
        <v>2.8361958120665769E-2</v>
      </c>
      <c r="S34" s="2"/>
      <c r="T34" s="7">
        <v>3155.2216840000001</v>
      </c>
      <c r="U34" s="2"/>
      <c r="V34" s="6">
        <f t="shared" si="17"/>
        <v>1.8207753961567315E-2</v>
      </c>
      <c r="W34" s="2"/>
      <c r="X34" s="7">
        <f t="shared" si="18"/>
        <v>2578.0483160000003</v>
      </c>
      <c r="Y34" s="2"/>
      <c r="Z34" s="6">
        <f t="shared" si="19"/>
        <v>0.81707359234794108</v>
      </c>
    </row>
    <row r="35" spans="1:26" s="24" customFormat="1" hidden="1" outlineLevel="2" x14ac:dyDescent="0.25">
      <c r="A35" s="29"/>
      <c r="B35" s="11" t="str">
        <f>CONCATENATE("          ", "6156", " - ", "EMPLOYEE MEALS")</f>
        <v xml:space="preserve">          6156 - EMPLOYEE MEALS</v>
      </c>
      <c r="C35" s="11"/>
      <c r="D35" s="7">
        <v>1195.8</v>
      </c>
      <c r="E35" s="2"/>
      <c r="F35" s="6">
        <f t="shared" si="12"/>
        <v>9.1867731363326974E-3</v>
      </c>
      <c r="G35" s="2"/>
      <c r="H35" s="7">
        <v>2121</v>
      </c>
      <c r="I35" s="2"/>
      <c r="J35" s="6">
        <f t="shared" si="13"/>
        <v>1.7713231057031428E-2</v>
      </c>
      <c r="K35" s="2"/>
      <c r="L35" s="7">
        <f t="shared" si="14"/>
        <v>-925.2</v>
      </c>
      <c r="M35" s="2"/>
      <c r="N35" s="6">
        <f t="shared" si="15"/>
        <v>-0.43620933521923622</v>
      </c>
      <c r="O35" s="11"/>
      <c r="P35" s="7">
        <v>3654.94</v>
      </c>
      <c r="Q35" s="2"/>
      <c r="R35" s="6">
        <f t="shared" si="16"/>
        <v>1.8080651218858719E-2</v>
      </c>
      <c r="S35" s="2"/>
      <c r="T35" s="7">
        <v>5707</v>
      </c>
      <c r="U35" s="2"/>
      <c r="V35" s="6">
        <f t="shared" si="17"/>
        <v>3.2933233308327078E-2</v>
      </c>
      <c r="W35" s="2"/>
      <c r="X35" s="7">
        <f t="shared" si="18"/>
        <v>-2052.06</v>
      </c>
      <c r="Y35" s="2"/>
      <c r="Z35" s="6">
        <f t="shared" si="19"/>
        <v>-0.359568950411775</v>
      </c>
    </row>
    <row r="36" spans="1:26" s="28" customFormat="1" outlineLevel="1" collapsed="1" x14ac:dyDescent="0.25">
      <c r="A36" s="27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68785.56</v>
      </c>
      <c r="E36" s="1"/>
      <c r="F36" s="5">
        <f t="shared" ref="F36:F46" si="20">IF(D$12=0,0,D36/D$12)</f>
        <v>0.52844734468606869</v>
      </c>
      <c r="G36" s="1"/>
      <c r="H36" s="1">
        <f>SUM(OSRRefH22_1x_0)</f>
        <v>66009.462540000008</v>
      </c>
      <c r="I36" s="1"/>
      <c r="J36" s="5">
        <f t="shared" ref="J36:J46" si="21">IF(H$12=0,0,H36/H$12)</f>
        <v>0.55126867605916108</v>
      </c>
      <c r="K36" s="1"/>
      <c r="L36" s="1">
        <f t="shared" ref="L36:L46" si="22">+D36-H36</f>
        <v>2776.09745999999</v>
      </c>
      <c r="M36" s="1"/>
      <c r="N36" s="5">
        <f t="shared" ref="N36:N46" si="23">IF(H36=0,0,L36/H36)</f>
        <v>4.2056053074477733E-2</v>
      </c>
      <c r="O36" s="14"/>
      <c r="P36" s="1">
        <f>SUM(OSRRefP22_1x_0)</f>
        <v>180298.22</v>
      </c>
      <c r="Q36" s="1"/>
      <c r="R36" s="5">
        <f t="shared" ref="R36:R46" si="24">IF(P$12=0,0,P36/P$12)</f>
        <v>0.89191867204415332</v>
      </c>
      <c r="S36" s="1"/>
      <c r="T36" s="1">
        <f>SUM(OSRRefT22_1x_0)</f>
        <v>173217.85561499998</v>
      </c>
      <c r="U36" s="1"/>
      <c r="V36" s="5">
        <f t="shared" ref="V36:V46" si="25">IF(T$12=0,0,T36/T$12)</f>
        <v>0.99958367831380912</v>
      </c>
      <c r="W36" s="1"/>
      <c r="X36" s="1">
        <f t="shared" ref="X36:X46" si="26">+P36-T36</f>
        <v>7080.3643850000226</v>
      </c>
      <c r="Y36" s="1"/>
      <c r="Z36" s="5">
        <f t="shared" ref="Z36:Z46" si="27">IF(T36=0,0,X36/T36)</f>
        <v>4.087548803708254E-2</v>
      </c>
    </row>
    <row r="37" spans="1:26" s="24" customFormat="1" hidden="1" outlineLevel="2" x14ac:dyDescent="0.25">
      <c r="A37" s="29"/>
      <c r="B37" s="11" t="str">
        <f>CONCATENATE("          ", "6001", " - ", "ADMINISTRATIVE SALARIES")</f>
        <v xml:space="preserve">          6001 - ADMINISTRATIVE SALARIES</v>
      </c>
      <c r="C37" s="11"/>
      <c r="D37" s="7">
        <v>10515.82</v>
      </c>
      <c r="E37" s="2"/>
      <c r="F37" s="6">
        <f t="shared" si="20"/>
        <v>8.0788135710411518E-2</v>
      </c>
      <c r="G37" s="2"/>
      <c r="H37" s="7">
        <v>10268.307692307701</v>
      </c>
      <c r="I37" s="2"/>
      <c r="J37" s="6">
        <f t="shared" si="21"/>
        <v>8.5754317170457076E-2</v>
      </c>
      <c r="K37" s="2"/>
      <c r="L37" s="7">
        <f t="shared" si="22"/>
        <v>247.51230769229915</v>
      </c>
      <c r="M37" s="2"/>
      <c r="N37" s="6">
        <f t="shared" si="23"/>
        <v>2.4104488792999267E-2</v>
      </c>
      <c r="O37" s="11"/>
      <c r="P37" s="7">
        <v>33207.519999999997</v>
      </c>
      <c r="Q37" s="2"/>
      <c r="R37" s="6">
        <f t="shared" si="24"/>
        <v>0.16427453992768015</v>
      </c>
      <c r="S37" s="2"/>
      <c r="T37" s="7">
        <v>33372</v>
      </c>
      <c r="U37" s="2"/>
      <c r="V37" s="6">
        <f t="shared" si="25"/>
        <v>0.19257891395925905</v>
      </c>
      <c r="W37" s="2"/>
      <c r="X37" s="7">
        <f t="shared" si="26"/>
        <v>-164.4800000000032</v>
      </c>
      <c r="Y37" s="2"/>
      <c r="Z37" s="6">
        <f t="shared" si="27"/>
        <v>-4.9286827280355747E-3</v>
      </c>
    </row>
    <row r="38" spans="1:26" s="24" customFormat="1" hidden="1" outlineLevel="2" x14ac:dyDescent="0.25">
      <c r="A38" s="29"/>
      <c r="B38" s="11" t="str">
        <f>CONCATENATE("          ", "6002", " - ", "STAFF SALARIES")</f>
        <v xml:space="preserve">          6002 - STAFF SALARIES</v>
      </c>
      <c r="C38" s="11"/>
      <c r="D38" s="7">
        <v>19952.88</v>
      </c>
      <c r="E38" s="2"/>
      <c r="F38" s="6">
        <f t="shared" si="20"/>
        <v>0.15328866196393207</v>
      </c>
      <c r="G38" s="2"/>
      <c r="H38" s="7">
        <v>14790.503807692299</v>
      </c>
      <c r="I38" s="2"/>
      <c r="J38" s="6">
        <f t="shared" si="21"/>
        <v>0.12352079745193625</v>
      </c>
      <c r="K38" s="2"/>
      <c r="L38" s="7">
        <f t="shared" si="22"/>
        <v>5162.3761923077018</v>
      </c>
      <c r="M38" s="2"/>
      <c r="N38" s="6">
        <f t="shared" si="23"/>
        <v>0.34903315393643553</v>
      </c>
      <c r="O38" s="11"/>
      <c r="P38" s="7">
        <v>64485.35</v>
      </c>
      <c r="Q38" s="2"/>
      <c r="R38" s="6">
        <f t="shared" si="24"/>
        <v>0.3190030813299346</v>
      </c>
      <c r="S38" s="2"/>
      <c r="T38" s="7">
        <v>48069.137374999998</v>
      </c>
      <c r="U38" s="2"/>
      <c r="V38" s="6">
        <f t="shared" si="25"/>
        <v>0.27739129421778519</v>
      </c>
      <c r="W38" s="2"/>
      <c r="X38" s="7">
        <f t="shared" si="26"/>
        <v>16416.212625</v>
      </c>
      <c r="Y38" s="2"/>
      <c r="Z38" s="6">
        <f t="shared" si="27"/>
        <v>0.34151252802672122</v>
      </c>
    </row>
    <row r="39" spans="1:26" s="24" customFormat="1" hidden="1" outlineLevel="2" x14ac:dyDescent="0.25">
      <c r="A39" s="29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9"/>
      <c r="B40" s="11" t="str">
        <f>CONCATENATE("          ", "6004", " - ", "STAFF HOURLY")</f>
        <v xml:space="preserve">          6004 - STAFF HOURLY</v>
      </c>
      <c r="C40" s="11"/>
      <c r="D40" s="7">
        <v>9010.67</v>
      </c>
      <c r="E40" s="2"/>
      <c r="F40" s="6">
        <f t="shared" si="20"/>
        <v>6.9224770945274253E-2</v>
      </c>
      <c r="G40" s="2"/>
      <c r="H40" s="7">
        <v>15124.286040000001</v>
      </c>
      <c r="I40" s="2"/>
      <c r="J40" s="6">
        <f t="shared" si="21"/>
        <v>0.12630833248427858</v>
      </c>
      <c r="K40" s="2"/>
      <c r="L40" s="7">
        <f t="shared" si="22"/>
        <v>-6113.6160400000008</v>
      </c>
      <c r="M40" s="2"/>
      <c r="N40" s="6">
        <f t="shared" si="23"/>
        <v>-0.40422510020182084</v>
      </c>
      <c r="O40" s="11"/>
      <c r="P40" s="7">
        <v>24738.03</v>
      </c>
      <c r="Q40" s="2"/>
      <c r="R40" s="6">
        <f t="shared" si="24"/>
        <v>0.12237675372828652</v>
      </c>
      <c r="S40" s="2"/>
      <c r="T40" s="7">
        <v>44144.883240000003</v>
      </c>
      <c r="U40" s="2"/>
      <c r="V40" s="6">
        <f t="shared" si="25"/>
        <v>0.25474570511858735</v>
      </c>
      <c r="W40" s="2"/>
      <c r="X40" s="7">
        <f t="shared" si="26"/>
        <v>-19406.853240000004</v>
      </c>
      <c r="Y40" s="2"/>
      <c r="Z40" s="6">
        <f t="shared" si="27"/>
        <v>-0.43961727420348712</v>
      </c>
    </row>
    <row r="41" spans="1:26" s="24" customFormat="1" hidden="1" outlineLevel="2" x14ac:dyDescent="0.25">
      <c r="A41" s="29"/>
      <c r="B41" s="11" t="str">
        <f>CONCATENATE("          ", "6005", " - ", "TEMPORARY WAGES-HOURLY")</f>
        <v xml:space="preserve">          6005 - TEMPORARY WAGES-HOURLY</v>
      </c>
      <c r="C41" s="11"/>
      <c r="D41" s="7">
        <v>14430.67</v>
      </c>
      <c r="E41" s="2"/>
      <c r="F41" s="6">
        <f t="shared" si="20"/>
        <v>0.11086410059816204</v>
      </c>
      <c r="G41" s="2"/>
      <c r="H41" s="7">
        <v>11698.2</v>
      </c>
      <c r="I41" s="2"/>
      <c r="J41" s="6">
        <f t="shared" si="21"/>
        <v>9.7695860231666681E-2</v>
      </c>
      <c r="K41" s="2"/>
      <c r="L41" s="7">
        <f t="shared" si="22"/>
        <v>2732.4699999999993</v>
      </c>
      <c r="M41" s="2"/>
      <c r="N41" s="6">
        <f t="shared" si="23"/>
        <v>0.23358037988750399</v>
      </c>
      <c r="O41" s="11"/>
      <c r="P41" s="7">
        <v>26653.32</v>
      </c>
      <c r="Q41" s="2"/>
      <c r="R41" s="6">
        <f t="shared" si="24"/>
        <v>0.13185151678129642</v>
      </c>
      <c r="S41" s="2"/>
      <c r="T41" s="7">
        <v>23274.18</v>
      </c>
      <c r="U41" s="2"/>
      <c r="V41" s="6">
        <f t="shared" si="25"/>
        <v>0.13430769230769232</v>
      </c>
      <c r="W41" s="2"/>
      <c r="X41" s="7">
        <f t="shared" si="26"/>
        <v>3379.1399999999994</v>
      </c>
      <c r="Y41" s="2"/>
      <c r="Z41" s="6">
        <f t="shared" si="27"/>
        <v>0.14518835894540644</v>
      </c>
    </row>
    <row r="42" spans="1:26" s="24" customFormat="1" hidden="1" outlineLevel="2" x14ac:dyDescent="0.25">
      <c r="A42" s="29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9"/>
      <c r="B43" s="11" t="str">
        <f>CONCATENATE("          ", "6007", " - ", "STUDENT HOURLY")</f>
        <v xml:space="preserve">          6007 - STUDENT HOURLY</v>
      </c>
      <c r="C43" s="11"/>
      <c r="D43" s="7">
        <v>14875.52</v>
      </c>
      <c r="E43" s="2"/>
      <c r="F43" s="6">
        <f t="shared" si="20"/>
        <v>0.11428167546828881</v>
      </c>
      <c r="G43" s="2"/>
      <c r="H43" s="7">
        <v>1323.08</v>
      </c>
      <c r="I43" s="2"/>
      <c r="J43" s="6">
        <f t="shared" si="21"/>
        <v>1.1049515203647872E-2</v>
      </c>
      <c r="K43" s="2"/>
      <c r="L43" s="7">
        <f t="shared" si="22"/>
        <v>13552.44</v>
      </c>
      <c r="M43" s="2"/>
      <c r="N43" s="6">
        <f t="shared" si="23"/>
        <v>10.243099434652478</v>
      </c>
      <c r="O43" s="11"/>
      <c r="P43" s="7">
        <v>31214</v>
      </c>
      <c r="Q43" s="2"/>
      <c r="R43" s="6">
        <f t="shared" si="24"/>
        <v>0.1544127802769556</v>
      </c>
      <c r="S43" s="2"/>
      <c r="T43" s="7">
        <v>7691.79</v>
      </c>
      <c r="U43" s="2"/>
      <c r="V43" s="6">
        <f t="shared" si="25"/>
        <v>4.4386808240521672E-2</v>
      </c>
      <c r="W43" s="2"/>
      <c r="X43" s="7">
        <f t="shared" si="26"/>
        <v>23522.21</v>
      </c>
      <c r="Y43" s="2"/>
      <c r="Z43" s="6">
        <f t="shared" si="27"/>
        <v>3.0580931096662805</v>
      </c>
    </row>
    <row r="44" spans="1:26" s="24" customFormat="1" hidden="1" outlineLevel="2" x14ac:dyDescent="0.25">
      <c r="A44" s="29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0"/>
        <v>0</v>
      </c>
      <c r="G44" s="2"/>
      <c r="H44" s="7">
        <v>12805.084999999999</v>
      </c>
      <c r="I44" s="2"/>
      <c r="J44" s="6">
        <f t="shared" si="21"/>
        <v>0.10693985351717455</v>
      </c>
      <c r="K44" s="2"/>
      <c r="L44" s="7">
        <f t="shared" si="22"/>
        <v>-12805.084999999999</v>
      </c>
      <c r="M44" s="2"/>
      <c r="N44" s="6">
        <f t="shared" si="23"/>
        <v>-1</v>
      </c>
      <c r="O44" s="11"/>
      <c r="P44" s="7"/>
      <c r="Q44" s="2"/>
      <c r="R44" s="6">
        <f t="shared" si="24"/>
        <v>0</v>
      </c>
      <c r="S44" s="2"/>
      <c r="T44" s="7">
        <v>16665.865000000002</v>
      </c>
      <c r="U44" s="2"/>
      <c r="V44" s="6">
        <f t="shared" si="25"/>
        <v>9.617326446996366E-2</v>
      </c>
      <c r="W44" s="2"/>
      <c r="X44" s="7">
        <f t="shared" si="26"/>
        <v>-16665.865000000002</v>
      </c>
      <c r="Y44" s="2"/>
      <c r="Z44" s="6">
        <f t="shared" si="27"/>
        <v>-1</v>
      </c>
    </row>
    <row r="45" spans="1:26" s="24" customFormat="1" hidden="1" outlineLevel="2" x14ac:dyDescent="0.25">
      <c r="A45" s="29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9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8" customFormat="1" outlineLevel="1" collapsed="1" x14ac:dyDescent="0.25">
      <c r="A47" s="27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200.77</v>
      </c>
      <c r="E47" s="1"/>
      <c r="F47" s="5">
        <f t="shared" ref="F47:F55" si="28">IF(D$12=0,0,D47/D$12)</f>
        <v>1.5424221797804949E-3</v>
      </c>
      <c r="G47" s="1"/>
      <c r="H47" s="1">
        <f>SUM(OSRRefH22_2x_0)</f>
        <v>0</v>
      </c>
      <c r="I47" s="1"/>
      <c r="J47" s="5">
        <f t="shared" ref="J47:J55" si="29">IF(H$12=0,0,H47/H$12)</f>
        <v>0</v>
      </c>
      <c r="K47" s="1"/>
      <c r="L47" s="1">
        <f t="shared" ref="L47:L55" si="30">+D47-H47</f>
        <v>200.77</v>
      </c>
      <c r="M47" s="1"/>
      <c r="N47" s="5">
        <f t="shared" ref="N47:N55" si="31">IF(H47=0,0,L47/H47)</f>
        <v>0</v>
      </c>
      <c r="O47" s="14"/>
      <c r="P47" s="1">
        <f>SUM(OSRRefP22_2x_0)</f>
        <v>673.06</v>
      </c>
      <c r="Q47" s="1"/>
      <c r="R47" s="5">
        <f t="shared" ref="R47:R55" si="32">IF(P$12=0,0,P47/P$12)</f>
        <v>3.3295657683477839E-3</v>
      </c>
      <c r="S47" s="1"/>
      <c r="T47" s="1">
        <f>SUM(OSRRefT22_2x_0)</f>
        <v>0</v>
      </c>
      <c r="U47" s="1"/>
      <c r="V47" s="5">
        <f t="shared" ref="V47:V55" si="33">IF(T$12=0,0,T47/T$12)</f>
        <v>0</v>
      </c>
      <c r="W47" s="1"/>
      <c r="X47" s="1">
        <f t="shared" ref="X47:X55" si="34">+P47-T47</f>
        <v>673.06</v>
      </c>
      <c r="Y47" s="1"/>
      <c r="Z47" s="5">
        <f t="shared" ref="Z47:Z55" si="35">IF(T47=0,0,X47/T47)</f>
        <v>0</v>
      </c>
    </row>
    <row r="48" spans="1:26" s="24" customFormat="1" hidden="1" outlineLevel="2" x14ac:dyDescent="0.25">
      <c r="A48" s="29"/>
      <c r="B48" s="11" t="str">
        <f>CONCATENATE("          ", "6362", " - ", "ADVERTISING EXPENSE")</f>
        <v xml:space="preserve">          6362 - ADVERTISING EXPENSE</v>
      </c>
      <c r="C48" s="11"/>
      <c r="D48" s="7">
        <v>200.77</v>
      </c>
      <c r="E48" s="2"/>
      <c r="F48" s="6">
        <f t="shared" si="28"/>
        <v>1.5424221797804949E-3</v>
      </c>
      <c r="G48" s="2"/>
      <c r="H48" s="7"/>
      <c r="I48" s="2"/>
      <c r="J48" s="6">
        <f t="shared" si="29"/>
        <v>0</v>
      </c>
      <c r="K48" s="2"/>
      <c r="L48" s="7">
        <f t="shared" si="30"/>
        <v>200.77</v>
      </c>
      <c r="M48" s="2"/>
      <c r="N48" s="6">
        <f t="shared" si="31"/>
        <v>0</v>
      </c>
      <c r="O48" s="11"/>
      <c r="P48" s="7">
        <v>673.06</v>
      </c>
      <c r="Q48" s="2"/>
      <c r="R48" s="6">
        <f t="shared" si="32"/>
        <v>3.3295657683477839E-3</v>
      </c>
      <c r="S48" s="2"/>
      <c r="T48" s="7"/>
      <c r="U48" s="2"/>
      <c r="V48" s="6">
        <f t="shared" si="33"/>
        <v>0</v>
      </c>
      <c r="W48" s="2"/>
      <c r="X48" s="7">
        <f t="shared" si="34"/>
        <v>673.06</v>
      </c>
      <c r="Y48" s="2"/>
      <c r="Z48" s="6">
        <f t="shared" si="35"/>
        <v>0</v>
      </c>
    </row>
    <row r="49" spans="1:26" s="28" customFormat="1" outlineLevel="1" collapsed="1" x14ac:dyDescent="0.25">
      <c r="A49" s="27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-8.0500000000000007</v>
      </c>
      <c r="E49" s="1"/>
      <c r="F49" s="5">
        <f t="shared" si="28"/>
        <v>-6.1844391827628543E-5</v>
      </c>
      <c r="G49" s="1"/>
      <c r="H49" s="1">
        <f>SUM(OSRRefH22_3x_0)</f>
        <v>10</v>
      </c>
      <c r="I49" s="1"/>
      <c r="J49" s="5">
        <f t="shared" si="29"/>
        <v>8.3513583484353727E-5</v>
      </c>
      <c r="K49" s="1"/>
      <c r="L49" s="1">
        <f t="shared" si="30"/>
        <v>-18.05</v>
      </c>
      <c r="M49" s="1"/>
      <c r="N49" s="5">
        <f t="shared" si="31"/>
        <v>-1.8050000000000002</v>
      </c>
      <c r="O49" s="14"/>
      <c r="P49" s="1">
        <f>SUM(OSRRefP22_3x_0)</f>
        <v>-115.29</v>
      </c>
      <c r="Q49" s="1"/>
      <c r="R49" s="5">
        <f t="shared" si="32"/>
        <v>-5.7032900102935255E-4</v>
      </c>
      <c r="S49" s="1"/>
      <c r="T49" s="1">
        <f>SUM(OSRRefT22_3x_0)</f>
        <v>30</v>
      </c>
      <c r="U49" s="1"/>
      <c r="V49" s="5">
        <f t="shared" si="33"/>
        <v>1.73120203127705E-4</v>
      </c>
      <c r="W49" s="1"/>
      <c r="X49" s="1">
        <f t="shared" si="34"/>
        <v>-145.29000000000002</v>
      </c>
      <c r="Y49" s="1"/>
      <c r="Z49" s="5">
        <f t="shared" si="35"/>
        <v>-4.8430000000000009</v>
      </c>
    </row>
    <row r="50" spans="1:26" s="24" customFormat="1" hidden="1" outlineLevel="2" x14ac:dyDescent="0.25">
      <c r="A50" s="29"/>
      <c r="B50" s="11" t="str">
        <f>CONCATENATE("          ", "6272", " - ", "CASH (OVER/SHORT)")</f>
        <v xml:space="preserve">          6272 - CASH (OVER/SHORT)</v>
      </c>
      <c r="C50" s="11"/>
      <c r="D50" s="7">
        <v>-8.0500000000000007</v>
      </c>
      <c r="E50" s="2"/>
      <c r="F50" s="6">
        <f t="shared" si="28"/>
        <v>-6.1844391827628543E-5</v>
      </c>
      <c r="G50" s="2"/>
      <c r="H50" s="7">
        <v>10</v>
      </c>
      <c r="I50" s="2"/>
      <c r="J50" s="6">
        <f t="shared" si="29"/>
        <v>8.3513583484353727E-5</v>
      </c>
      <c r="K50" s="2"/>
      <c r="L50" s="7">
        <f t="shared" si="30"/>
        <v>-18.05</v>
      </c>
      <c r="M50" s="2"/>
      <c r="N50" s="6">
        <f t="shared" si="31"/>
        <v>-1.8050000000000002</v>
      </c>
      <c r="O50" s="11"/>
      <c r="P50" s="7">
        <v>-115.29</v>
      </c>
      <c r="Q50" s="2"/>
      <c r="R50" s="6">
        <f t="shared" si="32"/>
        <v>-5.7032900102935255E-4</v>
      </c>
      <c r="S50" s="2"/>
      <c r="T50" s="7">
        <v>30</v>
      </c>
      <c r="U50" s="2"/>
      <c r="V50" s="6">
        <f t="shared" si="33"/>
        <v>1.73120203127705E-4</v>
      </c>
      <c r="W50" s="2"/>
      <c r="X50" s="7">
        <f t="shared" si="34"/>
        <v>-145.29000000000002</v>
      </c>
      <c r="Y50" s="2"/>
      <c r="Z50" s="6">
        <f t="shared" si="35"/>
        <v>-4.8430000000000009</v>
      </c>
    </row>
    <row r="51" spans="1:26" s="28" customFormat="1" outlineLevel="1" collapsed="1" x14ac:dyDescent="0.25">
      <c r="A51" s="27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4771.99</v>
      </c>
      <c r="E51" s="1"/>
      <c r="F51" s="5">
        <f t="shared" si="28"/>
        <v>3.6660971348760882E-2</v>
      </c>
      <c r="G51" s="1"/>
      <c r="H51" s="1">
        <f>SUM(OSRRefH22_4x_0)</f>
        <v>5909</v>
      </c>
      <c r="I51" s="1"/>
      <c r="J51" s="5">
        <f t="shared" si="29"/>
        <v>4.9348176480904622E-2</v>
      </c>
      <c r="K51" s="1"/>
      <c r="L51" s="1">
        <f t="shared" si="30"/>
        <v>-1137.0100000000002</v>
      </c>
      <c r="M51" s="1"/>
      <c r="N51" s="5">
        <f t="shared" si="31"/>
        <v>-0.19242003723134204</v>
      </c>
      <c r="O51" s="14"/>
      <c r="P51" s="1">
        <f>SUM(OSRRefP22_4x_0)</f>
        <v>8046.71</v>
      </c>
      <c r="Q51" s="1"/>
      <c r="R51" s="5">
        <f t="shared" si="32"/>
        <v>3.9806332516895665E-2</v>
      </c>
      <c r="S51" s="1"/>
      <c r="T51" s="1">
        <f>SUM(OSRRefT22_4x_0)</f>
        <v>9908</v>
      </c>
      <c r="U51" s="1"/>
      <c r="V51" s="5">
        <f t="shared" si="33"/>
        <v>5.7175832419643371E-2</v>
      </c>
      <c r="W51" s="1"/>
      <c r="X51" s="1">
        <f t="shared" si="34"/>
        <v>-1861.29</v>
      </c>
      <c r="Y51" s="1"/>
      <c r="Z51" s="5">
        <f t="shared" si="35"/>
        <v>-0.18785728704077512</v>
      </c>
    </row>
    <row r="52" spans="1:26" s="24" customFormat="1" hidden="1" outlineLevel="2" x14ac:dyDescent="0.25">
      <c r="A52" s="29"/>
      <c r="B52" s="11" t="str">
        <f>CONCATENATE("          ", "6381", " - ", "BANK/CREDIT CARD FEES")</f>
        <v xml:space="preserve">          6381 - BANK/CREDIT CARD FEES</v>
      </c>
      <c r="C52" s="11"/>
      <c r="D52" s="7">
        <v>4771.99</v>
      </c>
      <c r="E52" s="2"/>
      <c r="F52" s="6">
        <f t="shared" si="28"/>
        <v>3.6660971348760882E-2</v>
      </c>
      <c r="G52" s="2"/>
      <c r="H52" s="7">
        <v>5909</v>
      </c>
      <c r="I52" s="2"/>
      <c r="J52" s="6">
        <f t="shared" si="29"/>
        <v>4.9348176480904622E-2</v>
      </c>
      <c r="K52" s="2"/>
      <c r="L52" s="7">
        <f t="shared" si="30"/>
        <v>-1137.0100000000002</v>
      </c>
      <c r="M52" s="2"/>
      <c r="N52" s="6">
        <f t="shared" si="31"/>
        <v>-0.19242003723134204</v>
      </c>
      <c r="O52" s="11"/>
      <c r="P52" s="7">
        <v>8046.71</v>
      </c>
      <c r="Q52" s="2"/>
      <c r="R52" s="6">
        <f t="shared" si="32"/>
        <v>3.9806332516895665E-2</v>
      </c>
      <c r="S52" s="2"/>
      <c r="T52" s="7">
        <v>9908</v>
      </c>
      <c r="U52" s="2"/>
      <c r="V52" s="6">
        <f t="shared" si="33"/>
        <v>5.7175832419643371E-2</v>
      </c>
      <c r="W52" s="2"/>
      <c r="X52" s="7">
        <f t="shared" si="34"/>
        <v>-1861.29</v>
      </c>
      <c r="Y52" s="2"/>
      <c r="Z52" s="6">
        <f t="shared" si="35"/>
        <v>-0.18785728704077512</v>
      </c>
    </row>
    <row r="53" spans="1:26" s="28" customFormat="1" outlineLevel="1" collapsed="1" x14ac:dyDescent="0.25">
      <c r="A53" s="27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32782.04</v>
      </c>
      <c r="E53" s="1"/>
      <c r="F53" s="5">
        <f t="shared" si="28"/>
        <v>0.2518491089029804</v>
      </c>
      <c r="G53" s="1"/>
      <c r="H53" s="1">
        <f>SUM(OSRRefH22_5x_0)</f>
        <v>32783</v>
      </c>
      <c r="I53" s="1"/>
      <c r="J53" s="5">
        <f t="shared" si="29"/>
        <v>0.27378258073675682</v>
      </c>
      <c r="K53" s="1"/>
      <c r="L53" s="1">
        <f t="shared" si="30"/>
        <v>-0.95999999999912689</v>
      </c>
      <c r="M53" s="1"/>
      <c r="N53" s="5">
        <f t="shared" si="31"/>
        <v>-2.9283470091179176E-5</v>
      </c>
      <c r="O53" s="14"/>
      <c r="P53" s="1">
        <f>SUM(OSRRefP22_5x_0)</f>
        <v>98434.26</v>
      </c>
      <c r="Q53" s="1"/>
      <c r="R53" s="5">
        <f t="shared" si="32"/>
        <v>0.48694520923639129</v>
      </c>
      <c r="S53" s="1"/>
      <c r="T53" s="1">
        <f>SUM(OSRRefT22_5x_0)</f>
        <v>98437</v>
      </c>
      <c r="U53" s="1"/>
      <c r="V53" s="5">
        <f t="shared" si="33"/>
        <v>0.56804778117606325</v>
      </c>
      <c r="W53" s="1"/>
      <c r="X53" s="1">
        <f t="shared" si="34"/>
        <v>-2.7400000000052387</v>
      </c>
      <c r="Y53" s="1"/>
      <c r="Z53" s="5">
        <f t="shared" si="35"/>
        <v>-2.7835062019415855E-5</v>
      </c>
    </row>
    <row r="54" spans="1:26" s="24" customFormat="1" hidden="1" outlineLevel="2" x14ac:dyDescent="0.25">
      <c r="A54" s="29"/>
      <c r="B54" s="11" t="str">
        <f>CONCATENATE("          ", "6321", " - ", "BUILDING DEPRECIATION")</f>
        <v xml:space="preserve">          6321 - BUILDING DEPRECIATION</v>
      </c>
      <c r="C54" s="11"/>
      <c r="D54" s="7">
        <v>23539.4</v>
      </c>
      <c r="E54" s="2"/>
      <c r="F54" s="6">
        <f t="shared" si="28"/>
        <v>0.18084222074376141</v>
      </c>
      <c r="G54" s="2"/>
      <c r="H54" s="7"/>
      <c r="I54" s="2"/>
      <c r="J54" s="6">
        <f t="shared" si="29"/>
        <v>0</v>
      </c>
      <c r="K54" s="2"/>
      <c r="L54" s="7">
        <f t="shared" si="30"/>
        <v>23539.4</v>
      </c>
      <c r="M54" s="2"/>
      <c r="N54" s="6">
        <f t="shared" si="31"/>
        <v>0</v>
      </c>
      <c r="O54" s="11"/>
      <c r="P54" s="7">
        <v>70706.34</v>
      </c>
      <c r="Q54" s="2"/>
      <c r="R54" s="6">
        <f t="shared" si="32"/>
        <v>0.34977774532606254</v>
      </c>
      <c r="S54" s="2"/>
      <c r="T54" s="7"/>
      <c r="U54" s="2"/>
      <c r="V54" s="6">
        <f t="shared" si="33"/>
        <v>0</v>
      </c>
      <c r="W54" s="2"/>
      <c r="X54" s="7">
        <f t="shared" si="34"/>
        <v>70706.34</v>
      </c>
      <c r="Y54" s="2"/>
      <c r="Z54" s="6">
        <f t="shared" si="35"/>
        <v>0</v>
      </c>
    </row>
    <row r="55" spans="1:26" s="24" customFormat="1" hidden="1" outlineLevel="2" x14ac:dyDescent="0.25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9242.64</v>
      </c>
      <c r="E55" s="2"/>
      <c r="F55" s="6">
        <f t="shared" si="28"/>
        <v>7.1006888159218962E-2</v>
      </c>
      <c r="G55" s="2"/>
      <c r="H55" s="7">
        <v>32783</v>
      </c>
      <c r="I55" s="2"/>
      <c r="J55" s="6">
        <f t="shared" si="29"/>
        <v>0.27378258073675682</v>
      </c>
      <c r="K55" s="2"/>
      <c r="L55" s="7">
        <f t="shared" si="30"/>
        <v>-23540.36</v>
      </c>
      <c r="M55" s="2"/>
      <c r="N55" s="6">
        <f t="shared" si="31"/>
        <v>-0.71806607082939333</v>
      </c>
      <c r="O55" s="11"/>
      <c r="P55" s="7">
        <v>27727.919999999998</v>
      </c>
      <c r="Q55" s="2"/>
      <c r="R55" s="6">
        <f t="shared" si="32"/>
        <v>0.13716746391032877</v>
      </c>
      <c r="S55" s="2"/>
      <c r="T55" s="7">
        <v>98437</v>
      </c>
      <c r="U55" s="2"/>
      <c r="V55" s="6">
        <f t="shared" si="33"/>
        <v>0.56804778117606325</v>
      </c>
      <c r="W55" s="2"/>
      <c r="X55" s="7">
        <f t="shared" si="34"/>
        <v>-70709.08</v>
      </c>
      <c r="Y55" s="2"/>
      <c r="Z55" s="6">
        <f t="shared" si="35"/>
        <v>-0.71831811209199792</v>
      </c>
    </row>
    <row r="56" spans="1:26" s="28" customFormat="1" outlineLevel="1" collapsed="1" x14ac:dyDescent="0.25">
      <c r="A56" s="27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SUM(OSRRefD22_6x_0)</f>
        <v>0</v>
      </c>
      <c r="E56" s="1"/>
      <c r="F56" s="5">
        <f t="shared" ref="F56:F71" si="36">IF(D$12=0,0,D56/D$12)</f>
        <v>0</v>
      </c>
      <c r="G56" s="1"/>
      <c r="H56" s="1">
        <f>SUM(OSRRefH22_6x_0)</f>
        <v>0</v>
      </c>
      <c r="I56" s="1"/>
      <c r="J56" s="5">
        <f t="shared" ref="J56:J71" si="37">IF(H$12=0,0,H56/H$12)</f>
        <v>0</v>
      </c>
      <c r="K56" s="1"/>
      <c r="L56" s="1">
        <f t="shared" ref="L56:L71" si="38">+D56-H56</f>
        <v>0</v>
      </c>
      <c r="M56" s="1"/>
      <c r="N56" s="5">
        <f t="shared" ref="N56:N71" si="39">IF(H56=0,0,L56/H56)</f>
        <v>0</v>
      </c>
      <c r="O56" s="14"/>
      <c r="P56" s="1">
        <f>SUM(OSRRefP22_6x_0)</f>
        <v>18</v>
      </c>
      <c r="Q56" s="1"/>
      <c r="R56" s="5">
        <f t="shared" ref="R56:R71" si="40">IF(P$12=0,0,P56/P$12)</f>
        <v>8.9044340519805234E-5</v>
      </c>
      <c r="S56" s="1"/>
      <c r="T56" s="1">
        <f>SUM(OSRRefT22_6x_0)</f>
        <v>40</v>
      </c>
      <c r="U56" s="1"/>
      <c r="V56" s="5">
        <f t="shared" ref="V56:V71" si="41">IF(T$12=0,0,T56/T$12)</f>
        <v>2.3082693750360668E-4</v>
      </c>
      <c r="W56" s="1"/>
      <c r="X56" s="1">
        <f t="shared" ref="X56:X71" si="42">+P56-T56</f>
        <v>-22</v>
      </c>
      <c r="Y56" s="1"/>
      <c r="Z56" s="5">
        <f t="shared" ref="Z56:Z71" si="43">IF(T56=0,0,X56/T56)</f>
        <v>-0.55000000000000004</v>
      </c>
    </row>
    <row r="57" spans="1:26" s="24" customFormat="1" hidden="1" outlineLevel="2" x14ac:dyDescent="0.25">
      <c r="A57" s="29"/>
      <c r="B57" s="11" t="str">
        <f>CONCATENATE("          ", "6277", " - ", "EMPLOYEE APPRECIATION")</f>
        <v xml:space="preserve">          6277 - EMPLOYEE APPRECIATION</v>
      </c>
      <c r="C57" s="11"/>
      <c r="D57" s="7"/>
      <c r="E57" s="2"/>
      <c r="F57" s="6">
        <f t="shared" si="36"/>
        <v>0</v>
      </c>
      <c r="G57" s="2"/>
      <c r="H57" s="7"/>
      <c r="I57" s="2"/>
      <c r="J57" s="6">
        <f t="shared" si="37"/>
        <v>0</v>
      </c>
      <c r="K57" s="2"/>
      <c r="L57" s="7">
        <f t="shared" si="38"/>
        <v>0</v>
      </c>
      <c r="M57" s="2"/>
      <c r="N57" s="6">
        <f t="shared" si="39"/>
        <v>0</v>
      </c>
      <c r="O57" s="11"/>
      <c r="P57" s="7">
        <v>18</v>
      </c>
      <c r="Q57" s="2"/>
      <c r="R57" s="6">
        <f t="shared" si="40"/>
        <v>8.9044340519805234E-5</v>
      </c>
      <c r="S57" s="2"/>
      <c r="T57" s="7">
        <v>40</v>
      </c>
      <c r="U57" s="2"/>
      <c r="V57" s="6">
        <f t="shared" si="41"/>
        <v>2.3082693750360668E-4</v>
      </c>
      <c r="W57" s="2"/>
      <c r="X57" s="7">
        <f t="shared" si="42"/>
        <v>-22</v>
      </c>
      <c r="Y57" s="2"/>
      <c r="Z57" s="6">
        <f t="shared" si="43"/>
        <v>-0.55000000000000004</v>
      </c>
    </row>
    <row r="58" spans="1:26" s="28" customFormat="1" outlineLevel="1" collapsed="1" x14ac:dyDescent="0.25">
      <c r="A58" s="27"/>
      <c r="B58" s="14" t="str">
        <f>CONCATENATE("     ","Equipment Rental                                  ")</f>
        <v xml:space="preserve">     Equipment Rental                                  </v>
      </c>
      <c r="C58" s="14"/>
      <c r="D58" s="1">
        <f>SUM(OSRRefD22_7x_0)</f>
        <v>91.26</v>
      </c>
      <c r="E58" s="1"/>
      <c r="F58" s="5">
        <f t="shared" si="36"/>
        <v>7.0110797493035787E-4</v>
      </c>
      <c r="G58" s="1"/>
      <c r="H58" s="1">
        <f>SUM(OSRRefH22_7x_0)</f>
        <v>775</v>
      </c>
      <c r="I58" s="1"/>
      <c r="J58" s="5">
        <f t="shared" si="37"/>
        <v>6.4723027200374143E-3</v>
      </c>
      <c r="K58" s="1"/>
      <c r="L58" s="1">
        <f t="shared" si="38"/>
        <v>-683.74</v>
      </c>
      <c r="M58" s="1"/>
      <c r="N58" s="5">
        <f t="shared" si="39"/>
        <v>-0.8822451612903226</v>
      </c>
      <c r="O58" s="14"/>
      <c r="P58" s="1">
        <f>SUM(OSRRefP22_7x_0)</f>
        <v>1798.71</v>
      </c>
      <c r="Q58" s="1"/>
      <c r="R58" s="5">
        <f t="shared" si="40"/>
        <v>8.8980525409099384E-3</v>
      </c>
      <c r="S58" s="1"/>
      <c r="T58" s="1">
        <f>SUM(OSRRefT22_7x_0)</f>
        <v>2325</v>
      </c>
      <c r="U58" s="1"/>
      <c r="V58" s="5">
        <f t="shared" si="41"/>
        <v>1.3416815742397137E-2</v>
      </c>
      <c r="W58" s="1"/>
      <c r="X58" s="1">
        <f t="shared" si="42"/>
        <v>-526.29</v>
      </c>
      <c r="Y58" s="1"/>
      <c r="Z58" s="5">
        <f t="shared" si="43"/>
        <v>-0.22636129032258062</v>
      </c>
    </row>
    <row r="59" spans="1:26" s="24" customFormat="1" hidden="1" outlineLevel="2" x14ac:dyDescent="0.25">
      <c r="A59" s="29"/>
      <c r="B59" s="11" t="str">
        <f>CONCATENATE("          ", "6351", " - ", "EQUIPMENT RENTAL")</f>
        <v xml:space="preserve">          6351 - EQUIPMENT RENTAL</v>
      </c>
      <c r="C59" s="11"/>
      <c r="D59" s="7">
        <v>91.26</v>
      </c>
      <c r="E59" s="2"/>
      <c r="F59" s="6">
        <f t="shared" si="36"/>
        <v>7.0110797493035787E-4</v>
      </c>
      <c r="G59" s="2"/>
      <c r="H59" s="7">
        <v>775</v>
      </c>
      <c r="I59" s="2"/>
      <c r="J59" s="6">
        <f t="shared" si="37"/>
        <v>6.4723027200374143E-3</v>
      </c>
      <c r="K59" s="2"/>
      <c r="L59" s="7">
        <f t="shared" si="38"/>
        <v>-683.74</v>
      </c>
      <c r="M59" s="2"/>
      <c r="N59" s="6">
        <f t="shared" si="39"/>
        <v>-0.8822451612903226</v>
      </c>
      <c r="O59" s="11"/>
      <c r="P59" s="7">
        <v>1798.71</v>
      </c>
      <c r="Q59" s="2"/>
      <c r="R59" s="6">
        <f t="shared" si="40"/>
        <v>8.8980525409099384E-3</v>
      </c>
      <c r="S59" s="2"/>
      <c r="T59" s="7">
        <v>2325</v>
      </c>
      <c r="U59" s="2"/>
      <c r="V59" s="6">
        <f t="shared" si="41"/>
        <v>1.3416815742397137E-2</v>
      </c>
      <c r="W59" s="2"/>
      <c r="X59" s="7">
        <f t="shared" si="42"/>
        <v>-526.29</v>
      </c>
      <c r="Y59" s="2"/>
      <c r="Z59" s="6">
        <f t="shared" si="43"/>
        <v>-0.22636129032258062</v>
      </c>
    </row>
    <row r="60" spans="1:26" s="28" customFormat="1" outlineLevel="1" collapsed="1" x14ac:dyDescent="0.25">
      <c r="A60" s="27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SUM(OSRRefD22_8x_0)</f>
        <v>0</v>
      </c>
      <c r="E60" s="1"/>
      <c r="F60" s="5">
        <f t="shared" si="36"/>
        <v>0</v>
      </c>
      <c r="G60" s="1"/>
      <c r="H60" s="1">
        <f>SUM(OSRRefH22_8x_0)</f>
        <v>0</v>
      </c>
      <c r="I60" s="1"/>
      <c r="J60" s="5">
        <f t="shared" si="37"/>
        <v>0</v>
      </c>
      <c r="K60" s="1"/>
      <c r="L60" s="1">
        <f t="shared" si="38"/>
        <v>0</v>
      </c>
      <c r="M60" s="1"/>
      <c r="N60" s="5">
        <f t="shared" si="39"/>
        <v>0</v>
      </c>
      <c r="O60" s="14"/>
      <c r="P60" s="1">
        <f>SUM(OSRRefP22_8x_0)</f>
        <v>12322.21</v>
      </c>
      <c r="Q60" s="1"/>
      <c r="R60" s="5">
        <f t="shared" si="40"/>
        <v>6.0956836844252738E-2</v>
      </c>
      <c r="S60" s="1"/>
      <c r="T60" s="1">
        <f>SUM(OSRRefT22_8x_0)</f>
        <v>3235</v>
      </c>
      <c r="U60" s="1"/>
      <c r="V60" s="5">
        <f t="shared" si="41"/>
        <v>1.8668128570604188E-2</v>
      </c>
      <c r="W60" s="1"/>
      <c r="X60" s="1">
        <f t="shared" si="42"/>
        <v>9087.2099999999991</v>
      </c>
      <c r="Y60" s="1"/>
      <c r="Z60" s="5">
        <f t="shared" si="43"/>
        <v>2.8090293663060275</v>
      </c>
    </row>
    <row r="61" spans="1:26" s="24" customFormat="1" hidden="1" outlineLevel="2" x14ac:dyDescent="0.25">
      <c r="A61" s="29"/>
      <c r="B61" s="11" t="str">
        <f>CONCATENATE("          ", "6279", " - ", "GENERAL EXPENSE")</f>
        <v xml:space="preserve">          6279 - GENERAL EXPENSE</v>
      </c>
      <c r="C61" s="11"/>
      <c r="D61" s="7"/>
      <c r="E61" s="2"/>
      <c r="F61" s="6">
        <f t="shared" si="36"/>
        <v>0</v>
      </c>
      <c r="G61" s="2"/>
      <c r="H61" s="7"/>
      <c r="I61" s="2"/>
      <c r="J61" s="6">
        <f t="shared" si="37"/>
        <v>0</v>
      </c>
      <c r="K61" s="2"/>
      <c r="L61" s="7">
        <f t="shared" si="38"/>
        <v>0</v>
      </c>
      <c r="M61" s="2"/>
      <c r="N61" s="6">
        <f t="shared" si="39"/>
        <v>0</v>
      </c>
      <c r="O61" s="11"/>
      <c r="P61" s="7">
        <v>12322.21</v>
      </c>
      <c r="Q61" s="2"/>
      <c r="R61" s="6">
        <f t="shared" si="40"/>
        <v>6.0956836844252738E-2</v>
      </c>
      <c r="S61" s="2"/>
      <c r="T61" s="7">
        <v>3235</v>
      </c>
      <c r="U61" s="2"/>
      <c r="V61" s="6">
        <f t="shared" si="41"/>
        <v>1.8668128570604188E-2</v>
      </c>
      <c r="W61" s="2"/>
      <c r="X61" s="7">
        <f t="shared" si="42"/>
        <v>9087.2099999999991</v>
      </c>
      <c r="Y61" s="2"/>
      <c r="Z61" s="6">
        <f t="shared" si="43"/>
        <v>2.8090293663060275</v>
      </c>
    </row>
    <row r="62" spans="1:26" s="28" customFormat="1" outlineLevel="1" collapsed="1" x14ac:dyDescent="0.25">
      <c r="A62" s="27"/>
      <c r="B62" s="14" t="str">
        <f>CONCATENATE("     ","Insurance                                         ")</f>
        <v xml:space="preserve">     Insurance                                         </v>
      </c>
      <c r="C62" s="14"/>
      <c r="D62" s="1">
        <f>SUM(OSRRefD22_9x_0)</f>
        <v>5756.21</v>
      </c>
      <c r="E62" s="1"/>
      <c r="F62" s="5">
        <f t="shared" si="36"/>
        <v>4.4222274122001699E-2</v>
      </c>
      <c r="G62" s="1"/>
      <c r="H62" s="1">
        <f>SUM(OSRRefH22_9x_0)</f>
        <v>5670</v>
      </c>
      <c r="I62" s="1"/>
      <c r="J62" s="5">
        <f t="shared" si="37"/>
        <v>4.7352201835628563E-2</v>
      </c>
      <c r="K62" s="1"/>
      <c r="L62" s="1">
        <f t="shared" si="38"/>
        <v>86.210000000000036</v>
      </c>
      <c r="M62" s="1"/>
      <c r="N62" s="5">
        <f t="shared" si="39"/>
        <v>1.5204585537918877E-2</v>
      </c>
      <c r="O62" s="14"/>
      <c r="P62" s="1">
        <f>SUM(OSRRefP22_9x_0)</f>
        <v>17268.63</v>
      </c>
      <c r="Q62" s="1"/>
      <c r="R62" s="5">
        <f t="shared" si="40"/>
        <v>8.5426320557251356E-2</v>
      </c>
      <c r="S62" s="1"/>
      <c r="T62" s="1">
        <f>SUM(OSRRefT22_9x_0)</f>
        <v>17010</v>
      </c>
      <c r="U62" s="1"/>
      <c r="V62" s="5">
        <f t="shared" si="41"/>
        <v>9.8159155173408744E-2</v>
      </c>
      <c r="W62" s="1"/>
      <c r="X62" s="1">
        <f t="shared" si="42"/>
        <v>258.63000000000102</v>
      </c>
      <c r="Y62" s="1"/>
      <c r="Z62" s="5">
        <f t="shared" si="43"/>
        <v>1.5204585537918931E-2</v>
      </c>
    </row>
    <row r="63" spans="1:26" s="24" customFormat="1" hidden="1" outlineLevel="2" x14ac:dyDescent="0.25">
      <c r="A63" s="29"/>
      <c r="B63" s="11" t="str">
        <f>CONCATENATE("          ", "6314", " - ", "LIABILITY INSURANCE")</f>
        <v xml:space="preserve">          6314 - LIABILITY INSURANCE</v>
      </c>
      <c r="C63" s="11"/>
      <c r="D63" s="7">
        <v>5756.21</v>
      </c>
      <c r="E63" s="2"/>
      <c r="F63" s="6">
        <f t="shared" si="36"/>
        <v>4.4222274122001699E-2</v>
      </c>
      <c r="G63" s="2"/>
      <c r="H63" s="7">
        <v>5670</v>
      </c>
      <c r="I63" s="2"/>
      <c r="J63" s="6">
        <f t="shared" si="37"/>
        <v>4.7352201835628563E-2</v>
      </c>
      <c r="K63" s="2"/>
      <c r="L63" s="7">
        <f t="shared" si="38"/>
        <v>86.210000000000036</v>
      </c>
      <c r="M63" s="2"/>
      <c r="N63" s="6">
        <f t="shared" si="39"/>
        <v>1.5204585537918877E-2</v>
      </c>
      <c r="O63" s="11"/>
      <c r="P63" s="7">
        <v>17268.63</v>
      </c>
      <c r="Q63" s="2"/>
      <c r="R63" s="6">
        <f t="shared" si="40"/>
        <v>8.5426320557251356E-2</v>
      </c>
      <c r="S63" s="2"/>
      <c r="T63" s="7">
        <v>17010</v>
      </c>
      <c r="U63" s="2"/>
      <c r="V63" s="6">
        <f t="shared" si="41"/>
        <v>9.8159155173408744E-2</v>
      </c>
      <c r="W63" s="2"/>
      <c r="X63" s="7">
        <f t="shared" si="42"/>
        <v>258.63000000000102</v>
      </c>
      <c r="Y63" s="2"/>
      <c r="Z63" s="6">
        <f t="shared" si="43"/>
        <v>1.5204585537918931E-2</v>
      </c>
    </row>
    <row r="64" spans="1:26" s="28" customFormat="1" outlineLevel="1" collapsed="1" x14ac:dyDescent="0.25">
      <c r="A64" s="27"/>
      <c r="B64" s="14" t="str">
        <f>CONCATENATE("     ","Interest                                          ")</f>
        <v xml:space="preserve">     Interest                                          </v>
      </c>
      <c r="C64" s="14"/>
      <c r="D64" s="1">
        <f>SUM(OSRRefD22_10x_0)</f>
        <v>7253</v>
      </c>
      <c r="E64" s="1"/>
      <c r="F64" s="5">
        <f t="shared" si="36"/>
        <v>5.5721412910036003E-2</v>
      </c>
      <c r="G64" s="1"/>
      <c r="H64" s="1">
        <f>SUM(OSRRefH22_10x_0)</f>
        <v>7253</v>
      </c>
      <c r="I64" s="1"/>
      <c r="J64" s="5">
        <f t="shared" si="37"/>
        <v>6.057240210120176E-2</v>
      </c>
      <c r="K64" s="1"/>
      <c r="L64" s="1">
        <f t="shared" si="38"/>
        <v>0</v>
      </c>
      <c r="M64" s="1"/>
      <c r="N64" s="5">
        <f t="shared" si="39"/>
        <v>0</v>
      </c>
      <c r="O64" s="14"/>
      <c r="P64" s="1">
        <f>SUM(OSRRefP22_10x_0)</f>
        <v>21759</v>
      </c>
      <c r="Q64" s="1"/>
      <c r="R64" s="5">
        <f t="shared" si="40"/>
        <v>0.10763976696502456</v>
      </c>
      <c r="S64" s="1"/>
      <c r="T64" s="1">
        <f>SUM(OSRRefT22_10x_0)</f>
        <v>21759</v>
      </c>
      <c r="U64" s="1"/>
      <c r="V64" s="5">
        <f t="shared" si="41"/>
        <v>0.12556408332852445</v>
      </c>
      <c r="W64" s="1"/>
      <c r="X64" s="1">
        <f t="shared" si="42"/>
        <v>0</v>
      </c>
      <c r="Y64" s="1"/>
      <c r="Z64" s="5">
        <f t="shared" si="43"/>
        <v>0</v>
      </c>
    </row>
    <row r="65" spans="1:26" s="24" customFormat="1" hidden="1" outlineLevel="2" x14ac:dyDescent="0.25">
      <c r="A65" s="29"/>
      <c r="B65" s="11" t="str">
        <f>CONCATENATE("          ", "6401", " - ", "INTEREST EXPENSE")</f>
        <v xml:space="preserve">          6401 - INTEREST EXPENSE</v>
      </c>
      <c r="C65" s="11"/>
      <c r="D65" s="7">
        <v>7253</v>
      </c>
      <c r="E65" s="2"/>
      <c r="F65" s="6">
        <f t="shared" si="36"/>
        <v>5.5721412910036003E-2</v>
      </c>
      <c r="G65" s="2"/>
      <c r="H65" s="7">
        <v>7253</v>
      </c>
      <c r="I65" s="2"/>
      <c r="J65" s="6">
        <f t="shared" si="37"/>
        <v>6.057240210120176E-2</v>
      </c>
      <c r="K65" s="2"/>
      <c r="L65" s="7">
        <f t="shared" si="38"/>
        <v>0</v>
      </c>
      <c r="M65" s="2"/>
      <c r="N65" s="6">
        <f t="shared" si="39"/>
        <v>0</v>
      </c>
      <c r="O65" s="11"/>
      <c r="P65" s="7">
        <v>21759</v>
      </c>
      <c r="Q65" s="2"/>
      <c r="R65" s="6">
        <f t="shared" si="40"/>
        <v>0.10763976696502456</v>
      </c>
      <c r="S65" s="2"/>
      <c r="T65" s="7">
        <v>21759</v>
      </c>
      <c r="U65" s="2"/>
      <c r="V65" s="6">
        <f t="shared" si="41"/>
        <v>0.12556408332852445</v>
      </c>
      <c r="W65" s="2"/>
      <c r="X65" s="7">
        <f t="shared" si="42"/>
        <v>0</v>
      </c>
      <c r="Y65" s="2"/>
      <c r="Z65" s="6">
        <f t="shared" si="43"/>
        <v>0</v>
      </c>
    </row>
    <row r="66" spans="1:26" s="28" customFormat="1" outlineLevel="1" collapsed="1" x14ac:dyDescent="0.25">
      <c r="A66" s="27"/>
      <c r="B66" s="14" t="str">
        <f>CONCATENATE("     ","Rent                                              ")</f>
        <v xml:space="preserve">     Rent                                              </v>
      </c>
      <c r="C66" s="14"/>
      <c r="D66" s="1">
        <f>SUM(OSRRefD22_11x_0)</f>
        <v>1850</v>
      </c>
      <c r="E66" s="1"/>
      <c r="F66" s="5">
        <f t="shared" si="36"/>
        <v>1.4212686320635132E-2</v>
      </c>
      <c r="G66" s="1"/>
      <c r="H66" s="1">
        <f>SUM(OSRRefH22_11x_0)</f>
        <v>1850</v>
      </c>
      <c r="I66" s="1"/>
      <c r="J66" s="5">
        <f t="shared" si="37"/>
        <v>1.545001294460544E-2</v>
      </c>
      <c r="K66" s="1"/>
      <c r="L66" s="1">
        <f t="shared" si="38"/>
        <v>0</v>
      </c>
      <c r="M66" s="1"/>
      <c r="N66" s="5">
        <f t="shared" si="39"/>
        <v>0</v>
      </c>
      <c r="O66" s="14"/>
      <c r="P66" s="1">
        <f>SUM(OSRRefP22_11x_0)</f>
        <v>5550</v>
      </c>
      <c r="Q66" s="1"/>
      <c r="R66" s="5">
        <f t="shared" si="40"/>
        <v>2.7455338326939947E-2</v>
      </c>
      <c r="S66" s="1"/>
      <c r="T66" s="1">
        <f>SUM(OSRRefT22_11x_0)</f>
        <v>5550</v>
      </c>
      <c r="U66" s="1"/>
      <c r="V66" s="5">
        <f t="shared" si="41"/>
        <v>3.2027237578625425E-2</v>
      </c>
      <c r="W66" s="1"/>
      <c r="X66" s="1">
        <f t="shared" si="42"/>
        <v>0</v>
      </c>
      <c r="Y66" s="1"/>
      <c r="Z66" s="5">
        <f t="shared" si="43"/>
        <v>0</v>
      </c>
    </row>
    <row r="67" spans="1:26" s="24" customFormat="1" hidden="1" outlineLevel="2" x14ac:dyDescent="0.25">
      <c r="A67" s="29"/>
      <c r="B67" s="11" t="str">
        <f>CONCATENATE("          ", "6273", " - ", "RENT")</f>
        <v xml:space="preserve">          6273 - RENT</v>
      </c>
      <c r="C67" s="11"/>
      <c r="D67" s="7">
        <v>1850</v>
      </c>
      <c r="E67" s="2"/>
      <c r="F67" s="6">
        <f t="shared" si="36"/>
        <v>1.4212686320635132E-2</v>
      </c>
      <c r="G67" s="2"/>
      <c r="H67" s="7">
        <v>1850</v>
      </c>
      <c r="I67" s="2"/>
      <c r="J67" s="6">
        <f t="shared" si="37"/>
        <v>1.545001294460544E-2</v>
      </c>
      <c r="K67" s="2"/>
      <c r="L67" s="7">
        <f t="shared" si="38"/>
        <v>0</v>
      </c>
      <c r="M67" s="2"/>
      <c r="N67" s="6">
        <f t="shared" si="39"/>
        <v>0</v>
      </c>
      <c r="O67" s="11"/>
      <c r="P67" s="7">
        <v>5550</v>
      </c>
      <c r="Q67" s="2"/>
      <c r="R67" s="6">
        <f t="shared" si="40"/>
        <v>2.7455338326939947E-2</v>
      </c>
      <c r="S67" s="2"/>
      <c r="T67" s="7">
        <v>5550</v>
      </c>
      <c r="U67" s="2"/>
      <c r="V67" s="6">
        <f t="shared" si="41"/>
        <v>3.2027237578625425E-2</v>
      </c>
      <c r="W67" s="2"/>
      <c r="X67" s="7">
        <f t="shared" si="42"/>
        <v>0</v>
      </c>
      <c r="Y67" s="2"/>
      <c r="Z67" s="6">
        <f t="shared" si="43"/>
        <v>0</v>
      </c>
    </row>
    <row r="68" spans="1:26" s="28" customFormat="1" outlineLevel="1" collapsed="1" x14ac:dyDescent="0.25">
      <c r="A68" s="27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SUM(OSRRefD22_12x_0)</f>
        <v>3206.37</v>
      </c>
      <c r="E68" s="1"/>
      <c r="F68" s="5">
        <f t="shared" si="36"/>
        <v>2.4633043804267493E-2</v>
      </c>
      <c r="G68" s="1"/>
      <c r="H68" s="1">
        <f>SUM(OSRRefH22_12x_0)</f>
        <v>2371</v>
      </c>
      <c r="I68" s="1"/>
      <c r="J68" s="5">
        <f t="shared" si="37"/>
        <v>1.9801070644140269E-2</v>
      </c>
      <c r="K68" s="1"/>
      <c r="L68" s="1">
        <f t="shared" si="38"/>
        <v>835.36999999999989</v>
      </c>
      <c r="M68" s="1"/>
      <c r="N68" s="5">
        <f t="shared" si="39"/>
        <v>0.35232813159004633</v>
      </c>
      <c r="O68" s="14"/>
      <c r="P68" s="1">
        <f>SUM(OSRRefP22_12x_0)</f>
        <v>28831.62</v>
      </c>
      <c r="Q68" s="1"/>
      <c r="R68" s="5">
        <f t="shared" si="40"/>
        <v>0.14262736605653484</v>
      </c>
      <c r="S68" s="1"/>
      <c r="T68" s="1">
        <f>SUM(OSRRefT22_12x_0)</f>
        <v>16375</v>
      </c>
      <c r="U68" s="1"/>
      <c r="V68" s="5">
        <f t="shared" si="41"/>
        <v>9.4494777540538977E-2</v>
      </c>
      <c r="W68" s="1"/>
      <c r="X68" s="1">
        <f t="shared" si="42"/>
        <v>12456.619999999999</v>
      </c>
      <c r="Y68" s="1"/>
      <c r="Z68" s="5">
        <f t="shared" si="43"/>
        <v>0.76070961832061057</v>
      </c>
    </row>
    <row r="69" spans="1:26" s="24" customFormat="1" hidden="1" outlineLevel="2" x14ac:dyDescent="0.25">
      <c r="A69" s="29"/>
      <c r="B69" s="11" t="str">
        <f>CONCATENATE("          ", "6371", " - ", "COMPUTER SOFTWARE MAINTENANCE")</f>
        <v xml:space="preserve">          6371 - COMPUTER SOFTWARE MAINTENANCE</v>
      </c>
      <c r="C69" s="11"/>
      <c r="D69" s="7"/>
      <c r="E69" s="2"/>
      <c r="F69" s="6">
        <f t="shared" si="36"/>
        <v>0</v>
      </c>
      <c r="G69" s="2"/>
      <c r="H69" s="7"/>
      <c r="I69" s="2"/>
      <c r="J69" s="6">
        <f t="shared" si="37"/>
        <v>0</v>
      </c>
      <c r="K69" s="2"/>
      <c r="L69" s="7">
        <f t="shared" si="38"/>
        <v>0</v>
      </c>
      <c r="M69" s="2"/>
      <c r="N69" s="6">
        <f t="shared" si="39"/>
        <v>0</v>
      </c>
      <c r="O69" s="11"/>
      <c r="P69" s="7">
        <v>5177.72</v>
      </c>
      <c r="Q69" s="2"/>
      <c r="R69" s="6">
        <f t="shared" si="40"/>
        <v>2.561370348867811E-2</v>
      </c>
      <c r="S69" s="2"/>
      <c r="T69" s="7"/>
      <c r="U69" s="2"/>
      <c r="V69" s="6">
        <f t="shared" si="41"/>
        <v>0</v>
      </c>
      <c r="W69" s="2"/>
      <c r="X69" s="7">
        <f t="shared" si="42"/>
        <v>5177.72</v>
      </c>
      <c r="Y69" s="2"/>
      <c r="Z69" s="6">
        <f t="shared" si="43"/>
        <v>0</v>
      </c>
    </row>
    <row r="70" spans="1:26" s="24" customFormat="1" hidden="1" outlineLevel="2" x14ac:dyDescent="0.25">
      <c r="A70" s="29"/>
      <c r="B70" s="11" t="str">
        <f>CONCATENATE("          ", "6373", " - ", "MAINTENANCE CONTRACTS")</f>
        <v xml:space="preserve">          6373 - MAINTENANCE CONTRACTS</v>
      </c>
      <c r="C70" s="11"/>
      <c r="D70" s="7">
        <v>885.91</v>
      </c>
      <c r="E70" s="2"/>
      <c r="F70" s="6">
        <f t="shared" si="36"/>
        <v>6.8060329396291185E-3</v>
      </c>
      <c r="G70" s="2"/>
      <c r="H70" s="7"/>
      <c r="I70" s="2"/>
      <c r="J70" s="6">
        <f t="shared" si="37"/>
        <v>0</v>
      </c>
      <c r="K70" s="2"/>
      <c r="L70" s="7">
        <f t="shared" si="38"/>
        <v>885.91</v>
      </c>
      <c r="M70" s="2"/>
      <c r="N70" s="6">
        <f t="shared" si="39"/>
        <v>0</v>
      </c>
      <c r="O70" s="11"/>
      <c r="P70" s="7">
        <v>886.78</v>
      </c>
      <c r="Q70" s="2"/>
      <c r="R70" s="6">
        <f t="shared" si="40"/>
        <v>4.3868189047862717E-3</v>
      </c>
      <c r="S70" s="2"/>
      <c r="T70" s="7">
        <v>1030</v>
      </c>
      <c r="U70" s="2"/>
      <c r="V70" s="6">
        <f t="shared" si="41"/>
        <v>5.9437936407178722E-3</v>
      </c>
      <c r="W70" s="2"/>
      <c r="X70" s="7">
        <f t="shared" si="42"/>
        <v>-143.22000000000003</v>
      </c>
      <c r="Y70" s="2"/>
      <c r="Z70" s="6">
        <f t="shared" si="43"/>
        <v>-0.1390485436893204</v>
      </c>
    </row>
    <row r="71" spans="1:26" s="24" customFormat="1" hidden="1" outlineLevel="2" x14ac:dyDescent="0.25">
      <c r="A71" s="29"/>
      <c r="B71" s="11" t="str">
        <f>CONCATENATE("          ", "6375", " - ", "OUTSIDE REPAIRS &amp; MAINTENANCE")</f>
        <v xml:space="preserve">          6375 - OUTSIDE REPAIRS &amp; MAINTENANCE</v>
      </c>
      <c r="C71" s="11"/>
      <c r="D71" s="7">
        <v>2320.46</v>
      </c>
      <c r="E71" s="2"/>
      <c r="F71" s="6">
        <f t="shared" si="36"/>
        <v>1.7827010864638376E-2</v>
      </c>
      <c r="G71" s="2"/>
      <c r="H71" s="7">
        <v>2371</v>
      </c>
      <c r="I71" s="2"/>
      <c r="J71" s="6">
        <f t="shared" si="37"/>
        <v>1.9801070644140269E-2</v>
      </c>
      <c r="K71" s="2"/>
      <c r="L71" s="7">
        <f t="shared" si="38"/>
        <v>-50.539999999999964</v>
      </c>
      <c r="M71" s="2"/>
      <c r="N71" s="6">
        <f t="shared" si="39"/>
        <v>-2.131590046393925E-2</v>
      </c>
      <c r="O71" s="11"/>
      <c r="P71" s="7">
        <v>22767.119999999999</v>
      </c>
      <c r="Q71" s="2"/>
      <c r="R71" s="6">
        <f t="shared" si="40"/>
        <v>0.11262684366307045</v>
      </c>
      <c r="S71" s="2"/>
      <c r="T71" s="7">
        <v>15345</v>
      </c>
      <c r="U71" s="2"/>
      <c r="V71" s="6">
        <f t="shared" si="41"/>
        <v>8.8550983899821106E-2</v>
      </c>
      <c r="W71" s="2"/>
      <c r="X71" s="7">
        <f t="shared" si="42"/>
        <v>7422.119999999999</v>
      </c>
      <c r="Y71" s="2"/>
      <c r="Z71" s="6">
        <f t="shared" si="43"/>
        <v>0.48368328445747794</v>
      </c>
    </row>
    <row r="72" spans="1:26" s="28" customFormat="1" outlineLevel="1" collapsed="1" x14ac:dyDescent="0.25">
      <c r="A72" s="27"/>
      <c r="B72" s="14" t="str">
        <f>CONCATENATE("     ","Services                                          ")</f>
        <v xml:space="preserve">     Services                                          </v>
      </c>
      <c r="C72" s="14"/>
      <c r="D72" s="1">
        <f>SUM(OSRRefD22_13x_0)</f>
        <v>8395.5499999999993</v>
      </c>
      <c r="E72" s="1"/>
      <c r="F72" s="5">
        <f t="shared" ref="F72:F77" si="44">IF(D$12=0,0,D72/D$12)</f>
        <v>6.4499091156328792E-2</v>
      </c>
      <c r="G72" s="1"/>
      <c r="H72" s="1">
        <f>SUM(OSRRefH22_13x_0)</f>
        <v>11005</v>
      </c>
      <c r="I72" s="1"/>
      <c r="J72" s="5">
        <f t="shared" ref="J72:J77" si="45">IF(H$12=0,0,H72/H$12)</f>
        <v>9.1906698624531283E-2</v>
      </c>
      <c r="K72" s="1"/>
      <c r="L72" s="1">
        <f t="shared" ref="L72:L77" si="46">+D72-H72</f>
        <v>-2609.4500000000007</v>
      </c>
      <c r="M72" s="1"/>
      <c r="N72" s="5">
        <f t="shared" ref="N72:N77" si="47">IF(H72=0,0,L72/H72)</f>
        <v>-0.23711494775102232</v>
      </c>
      <c r="O72" s="14"/>
      <c r="P72" s="1">
        <f>SUM(OSRRefP22_13x_0)</f>
        <v>28998.550000000003</v>
      </c>
      <c r="Q72" s="1"/>
      <c r="R72" s="5">
        <f t="shared" ref="R72:R77" si="48">IF(P$12=0,0,P72/P$12)</f>
        <v>0.14345315337669992</v>
      </c>
      <c r="S72" s="1"/>
      <c r="T72" s="1">
        <f>SUM(OSRRefT22_13x_0)</f>
        <v>27999</v>
      </c>
      <c r="U72" s="1"/>
      <c r="V72" s="5">
        <f t="shared" ref="V72:V77" si="49">IF(T$12=0,0,T72/T$12)</f>
        <v>0.16157308557908709</v>
      </c>
      <c r="W72" s="1"/>
      <c r="X72" s="1">
        <f t="shared" ref="X72:X77" si="50">+P72-T72</f>
        <v>999.55000000000291</v>
      </c>
      <c r="Y72" s="1"/>
      <c r="Z72" s="5">
        <f t="shared" ref="Z72:Z77" si="51">IF(T72=0,0,X72/T72)</f>
        <v>3.569948926747394E-2</v>
      </c>
    </row>
    <row r="73" spans="1:26" s="24" customFormat="1" hidden="1" outlineLevel="2" x14ac:dyDescent="0.25">
      <c r="A73" s="29"/>
      <c r="B73" s="11" t="str">
        <f>CONCATENATE("          ", "6282", " - ", "JANITORIAL/EXTERMINATOR EXPENS")</f>
        <v xml:space="preserve">          6282 - JANITORIAL/EXTERMINATOR EXPENS</v>
      </c>
      <c r="C73" s="11"/>
      <c r="D73" s="7">
        <v>1021.65</v>
      </c>
      <c r="E73" s="2"/>
      <c r="F73" s="6">
        <f t="shared" si="44"/>
        <v>7.8488599889064217E-3</v>
      </c>
      <c r="G73" s="2"/>
      <c r="H73" s="7">
        <v>1128</v>
      </c>
      <c r="I73" s="2"/>
      <c r="J73" s="6">
        <f t="shared" si="45"/>
        <v>9.4203322170351E-3</v>
      </c>
      <c r="K73" s="2"/>
      <c r="L73" s="7">
        <f t="shared" si="46"/>
        <v>-106.35000000000002</v>
      </c>
      <c r="M73" s="2"/>
      <c r="N73" s="6">
        <f t="shared" si="47"/>
        <v>-9.4281914893617036E-2</v>
      </c>
      <c r="O73" s="11"/>
      <c r="P73" s="7">
        <v>2713.4</v>
      </c>
      <c r="Q73" s="2"/>
      <c r="R73" s="6">
        <f t="shared" si="48"/>
        <v>1.3422939642579974E-2</v>
      </c>
      <c r="S73" s="2"/>
      <c r="T73" s="7">
        <v>3284</v>
      </c>
      <c r="U73" s="2"/>
      <c r="V73" s="6">
        <f t="shared" si="49"/>
        <v>1.8950891569046106E-2</v>
      </c>
      <c r="W73" s="2"/>
      <c r="X73" s="7">
        <f t="shared" si="50"/>
        <v>-570.59999999999991</v>
      </c>
      <c r="Y73" s="2"/>
      <c r="Z73" s="6">
        <f t="shared" si="51"/>
        <v>-0.17375152253349571</v>
      </c>
    </row>
    <row r="74" spans="1:26" s="24" customFormat="1" hidden="1" outlineLevel="2" x14ac:dyDescent="0.25">
      <c r="A74" s="29"/>
      <c r="B74" s="11" t="str">
        <f>CONCATENATE("          ", "6283", " - ", "PLANT SERVICE")</f>
        <v xml:space="preserve">          6283 - PLANT SERVICE</v>
      </c>
      <c r="C74" s="11"/>
      <c r="D74" s="7"/>
      <c r="E74" s="2"/>
      <c r="F74" s="6">
        <f t="shared" si="44"/>
        <v>0</v>
      </c>
      <c r="G74" s="2"/>
      <c r="H74" s="7">
        <v>100</v>
      </c>
      <c r="I74" s="2"/>
      <c r="J74" s="6">
        <f t="shared" si="45"/>
        <v>8.3513583484353727E-4</v>
      </c>
      <c r="K74" s="2"/>
      <c r="L74" s="7">
        <f t="shared" si="46"/>
        <v>-100</v>
      </c>
      <c r="M74" s="2"/>
      <c r="N74" s="6">
        <f t="shared" si="47"/>
        <v>-1</v>
      </c>
      <c r="O74" s="11"/>
      <c r="P74" s="7"/>
      <c r="Q74" s="2"/>
      <c r="R74" s="6">
        <f t="shared" si="48"/>
        <v>0</v>
      </c>
      <c r="S74" s="2"/>
      <c r="T74" s="7">
        <v>300</v>
      </c>
      <c r="U74" s="2"/>
      <c r="V74" s="6">
        <f t="shared" si="49"/>
        <v>1.73120203127705E-3</v>
      </c>
      <c r="W74" s="2"/>
      <c r="X74" s="7">
        <f t="shared" si="50"/>
        <v>-300</v>
      </c>
      <c r="Y74" s="2"/>
      <c r="Z74" s="6">
        <f t="shared" si="51"/>
        <v>-1</v>
      </c>
    </row>
    <row r="75" spans="1:26" s="24" customFormat="1" hidden="1" outlineLevel="2" x14ac:dyDescent="0.25">
      <c r="A75" s="29"/>
      <c r="B75" s="11" t="str">
        <f>CONCATENATE("          ", "6284", " - ", "TRASH REMOVAL EXPENSE")</f>
        <v xml:space="preserve">          6284 - TRASH REMOVAL EXPENSE</v>
      </c>
      <c r="C75" s="11"/>
      <c r="D75" s="7"/>
      <c r="E75" s="2"/>
      <c r="F75" s="6">
        <f t="shared" si="44"/>
        <v>0</v>
      </c>
      <c r="G75" s="2"/>
      <c r="H75" s="7">
        <v>1000</v>
      </c>
      <c r="I75" s="2"/>
      <c r="J75" s="6">
        <f t="shared" si="45"/>
        <v>8.3513583484353723E-3</v>
      </c>
      <c r="K75" s="2"/>
      <c r="L75" s="7">
        <f t="shared" si="46"/>
        <v>-1000</v>
      </c>
      <c r="M75" s="2"/>
      <c r="N75" s="6">
        <f t="shared" si="47"/>
        <v>-1</v>
      </c>
      <c r="O75" s="11"/>
      <c r="P75" s="7"/>
      <c r="Q75" s="2"/>
      <c r="R75" s="6">
        <f t="shared" si="48"/>
        <v>0</v>
      </c>
      <c r="S75" s="2"/>
      <c r="T75" s="7">
        <v>3000</v>
      </c>
      <c r="U75" s="2"/>
      <c r="V75" s="6">
        <f t="shared" si="49"/>
        <v>1.7312020312770501E-2</v>
      </c>
      <c r="W75" s="2"/>
      <c r="X75" s="7">
        <f t="shared" si="50"/>
        <v>-3000</v>
      </c>
      <c r="Y75" s="2"/>
      <c r="Z75" s="6">
        <f t="shared" si="51"/>
        <v>-1</v>
      </c>
    </row>
    <row r="76" spans="1:26" s="24" customFormat="1" hidden="1" outlineLevel="2" x14ac:dyDescent="0.25">
      <c r="A76" s="29"/>
      <c r="B76" s="11" t="str">
        <f>CONCATENATE("          ", "6285", " - ", "JANITORIAL SERVICES")</f>
        <v xml:space="preserve">          6285 - JANITORIAL SERVICES</v>
      </c>
      <c r="C76" s="11"/>
      <c r="D76" s="7">
        <v>7166.13</v>
      </c>
      <c r="E76" s="2"/>
      <c r="F76" s="6">
        <f t="shared" si="44"/>
        <v>5.5054031255617857E-2</v>
      </c>
      <c r="G76" s="2"/>
      <c r="H76" s="7">
        <v>8224</v>
      </c>
      <c r="I76" s="2"/>
      <c r="J76" s="6">
        <f t="shared" si="45"/>
        <v>6.8681571057532503E-2</v>
      </c>
      <c r="K76" s="2"/>
      <c r="L76" s="7">
        <f t="shared" si="46"/>
        <v>-1057.8699999999999</v>
      </c>
      <c r="M76" s="2"/>
      <c r="N76" s="6">
        <f t="shared" si="47"/>
        <v>-0.12863205252918286</v>
      </c>
      <c r="O76" s="11"/>
      <c r="P76" s="7">
        <v>25757.9</v>
      </c>
      <c r="Q76" s="2"/>
      <c r="R76" s="6">
        <f t="shared" si="48"/>
        <v>0.12742195659306063</v>
      </c>
      <c r="S76" s="2"/>
      <c r="T76" s="7">
        <v>19489</v>
      </c>
      <c r="U76" s="2"/>
      <c r="V76" s="6">
        <f t="shared" si="49"/>
        <v>0.11246465462519475</v>
      </c>
      <c r="W76" s="2"/>
      <c r="X76" s="7">
        <f t="shared" si="50"/>
        <v>6268.9000000000015</v>
      </c>
      <c r="Y76" s="2"/>
      <c r="Z76" s="6">
        <f t="shared" si="51"/>
        <v>0.32166350248858339</v>
      </c>
    </row>
    <row r="77" spans="1:26" s="24" customFormat="1" hidden="1" outlineLevel="2" x14ac:dyDescent="0.25">
      <c r="A77" s="29"/>
      <c r="B77" s="11" t="str">
        <f>CONCATENATE("          ", "6286", " - ", "LAUNDRY EXPENSE")</f>
        <v xml:space="preserve">          6286 - LAUNDRY EXPENSE</v>
      </c>
      <c r="C77" s="11"/>
      <c r="D77" s="7">
        <v>207.77</v>
      </c>
      <c r="E77" s="2"/>
      <c r="F77" s="6">
        <f t="shared" si="44"/>
        <v>1.5961999118045197E-3</v>
      </c>
      <c r="G77" s="2"/>
      <c r="H77" s="7">
        <v>553</v>
      </c>
      <c r="I77" s="2"/>
      <c r="J77" s="6">
        <f t="shared" si="45"/>
        <v>4.6183011666847615E-3</v>
      </c>
      <c r="K77" s="2"/>
      <c r="L77" s="7">
        <f t="shared" si="46"/>
        <v>-345.23</v>
      </c>
      <c r="M77" s="2"/>
      <c r="N77" s="6">
        <f t="shared" si="47"/>
        <v>-0.62428571428571433</v>
      </c>
      <c r="O77" s="11"/>
      <c r="P77" s="7">
        <v>527.25</v>
      </c>
      <c r="Q77" s="2"/>
      <c r="R77" s="6">
        <f t="shared" si="48"/>
        <v>2.608257141059295E-3</v>
      </c>
      <c r="S77" s="2"/>
      <c r="T77" s="7">
        <v>1926</v>
      </c>
      <c r="U77" s="2"/>
      <c r="V77" s="6">
        <f t="shared" si="49"/>
        <v>1.1114317040798662E-2</v>
      </c>
      <c r="W77" s="2"/>
      <c r="X77" s="7">
        <f t="shared" si="50"/>
        <v>-1398.75</v>
      </c>
      <c r="Y77" s="2"/>
      <c r="Z77" s="6">
        <f t="shared" si="51"/>
        <v>-0.72624610591900307</v>
      </c>
    </row>
    <row r="78" spans="1:26" s="28" customFormat="1" outlineLevel="1" collapsed="1" x14ac:dyDescent="0.25">
      <c r="A78" s="27"/>
      <c r="B78" s="14" t="str">
        <f>CONCATENATE("     ","Subscriptions &amp; Dues                              ")</f>
        <v xml:space="preserve">     Subscriptions &amp; Dues                              </v>
      </c>
      <c r="C78" s="14"/>
      <c r="D78" s="1">
        <f>SUM(OSRRefD22_14x_0)</f>
        <v>408.93</v>
      </c>
      <c r="E78" s="1"/>
      <c r="F78" s="5">
        <f t="shared" ref="F78:F89" si="52">IF(D$12=0,0,D78/D$12)</f>
        <v>3.1416182795120672E-3</v>
      </c>
      <c r="G78" s="1"/>
      <c r="H78" s="1">
        <f>SUM(OSRRefH22_14x_0)</f>
        <v>610</v>
      </c>
      <c r="I78" s="1"/>
      <c r="J78" s="5">
        <f t="shared" ref="J78:J89" si="53">IF(H$12=0,0,H78/H$12)</f>
        <v>5.0943285925455772E-3</v>
      </c>
      <c r="K78" s="1"/>
      <c r="L78" s="1">
        <f t="shared" ref="L78:L89" si="54">+D78-H78</f>
        <v>-201.07</v>
      </c>
      <c r="M78" s="1"/>
      <c r="N78" s="5">
        <f t="shared" ref="N78:N89" si="55">IF(H78=0,0,L78/H78)</f>
        <v>-0.32962295081967213</v>
      </c>
      <c r="O78" s="14"/>
      <c r="P78" s="1">
        <f>SUM(OSRRefP22_14x_0)</f>
        <v>1133.19</v>
      </c>
      <c r="Q78" s="1"/>
      <c r="R78" s="5">
        <f t="shared" ref="R78:R89" si="56">IF(P$12=0,0,P78/P$12)</f>
        <v>5.6057864574243386E-3</v>
      </c>
      <c r="S78" s="1"/>
      <c r="T78" s="1">
        <f>SUM(OSRRefT22_14x_0)</f>
        <v>1600</v>
      </c>
      <c r="U78" s="1"/>
      <c r="V78" s="5">
        <f t="shared" ref="V78:V89" si="57">IF(T$12=0,0,T78/T$12)</f>
        <v>9.2330775001442673E-3</v>
      </c>
      <c r="W78" s="1"/>
      <c r="X78" s="1">
        <f t="shared" ref="X78:X89" si="58">+P78-T78</f>
        <v>-466.80999999999995</v>
      </c>
      <c r="Y78" s="1"/>
      <c r="Z78" s="5">
        <f t="shared" ref="Z78:Z89" si="59">IF(T78=0,0,X78/T78)</f>
        <v>-0.29175624999999994</v>
      </c>
    </row>
    <row r="79" spans="1:26" s="24" customFormat="1" hidden="1" outlineLevel="2" x14ac:dyDescent="0.25">
      <c r="A79" s="29"/>
      <c r="B79" s="11" t="str">
        <f>CONCATENATE("          ", "6275", " - ", "SUBSCRIPTIONS")</f>
        <v xml:space="preserve">          6275 - SUBSCRIPTIONS</v>
      </c>
      <c r="C79" s="11"/>
      <c r="D79" s="7">
        <v>408.93</v>
      </c>
      <c r="E79" s="2"/>
      <c r="F79" s="6">
        <f t="shared" si="52"/>
        <v>3.1416182795120672E-3</v>
      </c>
      <c r="G79" s="2"/>
      <c r="H79" s="7">
        <v>610</v>
      </c>
      <c r="I79" s="2"/>
      <c r="J79" s="6">
        <f t="shared" si="53"/>
        <v>5.0943285925455772E-3</v>
      </c>
      <c r="K79" s="2"/>
      <c r="L79" s="7">
        <f t="shared" si="54"/>
        <v>-201.07</v>
      </c>
      <c r="M79" s="2"/>
      <c r="N79" s="6">
        <f t="shared" si="55"/>
        <v>-0.32962295081967213</v>
      </c>
      <c r="O79" s="11"/>
      <c r="P79" s="7">
        <v>1133.19</v>
      </c>
      <c r="Q79" s="2"/>
      <c r="R79" s="6">
        <f t="shared" si="56"/>
        <v>5.6057864574243386E-3</v>
      </c>
      <c r="S79" s="2"/>
      <c r="T79" s="7">
        <v>1600</v>
      </c>
      <c r="U79" s="2"/>
      <c r="V79" s="6">
        <f t="shared" si="57"/>
        <v>9.2330775001442673E-3</v>
      </c>
      <c r="W79" s="2"/>
      <c r="X79" s="7">
        <f t="shared" si="58"/>
        <v>-466.80999999999995</v>
      </c>
      <c r="Y79" s="2"/>
      <c r="Z79" s="6">
        <f t="shared" si="59"/>
        <v>-0.29175624999999994</v>
      </c>
    </row>
    <row r="80" spans="1:26" s="28" customFormat="1" outlineLevel="1" collapsed="1" x14ac:dyDescent="0.25">
      <c r="A80" s="27"/>
      <c r="B80" s="14" t="str">
        <f>CONCATENATE("     ","Supplies                                          ")</f>
        <v xml:space="preserve">     Supplies                                          </v>
      </c>
      <c r="C80" s="14"/>
      <c r="D80" s="1">
        <f>SUM(OSRRefD22_15x_0)</f>
        <v>3070.52</v>
      </c>
      <c r="E80" s="1"/>
      <c r="F80" s="5">
        <f t="shared" si="52"/>
        <v>2.35893716763441E-2</v>
      </c>
      <c r="G80" s="1"/>
      <c r="H80" s="1">
        <f>SUM(OSRRefH22_15x_0)</f>
        <v>2255</v>
      </c>
      <c r="I80" s="1"/>
      <c r="J80" s="5">
        <f t="shared" si="53"/>
        <v>1.8832313075721765E-2</v>
      </c>
      <c r="K80" s="1"/>
      <c r="L80" s="1">
        <f t="shared" si="54"/>
        <v>815.52</v>
      </c>
      <c r="M80" s="1"/>
      <c r="N80" s="5">
        <f t="shared" si="55"/>
        <v>0.36164966740576499</v>
      </c>
      <c r="O80" s="14"/>
      <c r="P80" s="1">
        <f>SUM(OSRRefP22_15x_0)</f>
        <v>7922.0500000000011</v>
      </c>
      <c r="Q80" s="1"/>
      <c r="R80" s="5">
        <f t="shared" si="56"/>
        <v>3.9189650989717953E-2</v>
      </c>
      <c r="S80" s="1"/>
      <c r="T80" s="1">
        <f>SUM(OSRRefT22_15x_0)</f>
        <v>17973</v>
      </c>
      <c r="U80" s="1"/>
      <c r="V80" s="5">
        <f t="shared" si="57"/>
        <v>0.10371631369380807</v>
      </c>
      <c r="W80" s="1"/>
      <c r="X80" s="1">
        <f t="shared" si="58"/>
        <v>-10050.949999999999</v>
      </c>
      <c r="Y80" s="1"/>
      <c r="Z80" s="5">
        <f t="shared" si="59"/>
        <v>-0.55922494853391191</v>
      </c>
    </row>
    <row r="81" spans="1:26" s="24" customFormat="1" hidden="1" outlineLevel="2" x14ac:dyDescent="0.25">
      <c r="A81" s="29"/>
      <c r="B81" s="11" t="str">
        <f>CONCATENATE("          ", "6235", " - ", "COVID-19 EXPENSES")</f>
        <v xml:space="preserve">          6235 - COVID-19 EXPENSES</v>
      </c>
      <c r="C81" s="11"/>
      <c r="D81" s="7">
        <v>193.5</v>
      </c>
      <c r="E81" s="2"/>
      <c r="F81" s="6">
        <f t="shared" si="52"/>
        <v>1.4865701638069719E-3</v>
      </c>
      <c r="G81" s="2"/>
      <c r="H81" s="7">
        <v>250</v>
      </c>
      <c r="I81" s="2"/>
      <c r="J81" s="6">
        <f t="shared" si="53"/>
        <v>2.0878395871088431E-3</v>
      </c>
      <c r="K81" s="2"/>
      <c r="L81" s="7">
        <f t="shared" si="54"/>
        <v>-56.5</v>
      </c>
      <c r="M81" s="2"/>
      <c r="N81" s="6">
        <f t="shared" si="55"/>
        <v>-0.22600000000000001</v>
      </c>
      <c r="O81" s="11"/>
      <c r="P81" s="7">
        <v>193.5</v>
      </c>
      <c r="Q81" s="2"/>
      <c r="R81" s="6">
        <f t="shared" si="56"/>
        <v>9.5722666058790636E-4</v>
      </c>
      <c r="S81" s="2"/>
      <c r="T81" s="7">
        <v>1000</v>
      </c>
      <c r="U81" s="2"/>
      <c r="V81" s="6">
        <f t="shared" si="57"/>
        <v>5.7706734375901668E-3</v>
      </c>
      <c r="W81" s="2"/>
      <c r="X81" s="7">
        <f t="shared" si="58"/>
        <v>-806.5</v>
      </c>
      <c r="Y81" s="2"/>
      <c r="Z81" s="6">
        <f t="shared" si="59"/>
        <v>-0.80649999999999999</v>
      </c>
    </row>
    <row r="82" spans="1:26" s="24" customFormat="1" hidden="1" outlineLevel="2" x14ac:dyDescent="0.25">
      <c r="A82" s="29"/>
      <c r="B82" s="11" t="str">
        <f>CONCATENATE("          ", "6237", " - ", "JANITORIAL SUPPLIES")</f>
        <v xml:space="preserve">          6237 - JANITORIAL SUPPLIES</v>
      </c>
      <c r="C82" s="11"/>
      <c r="D82" s="7">
        <v>1597.32</v>
      </c>
      <c r="E82" s="2"/>
      <c r="F82" s="6">
        <f t="shared" si="52"/>
        <v>1.227146384523076E-2</v>
      </c>
      <c r="G82" s="2"/>
      <c r="H82" s="7">
        <v>586</v>
      </c>
      <c r="I82" s="2"/>
      <c r="J82" s="6">
        <f t="shared" si="53"/>
        <v>4.8938959921831287E-3</v>
      </c>
      <c r="K82" s="2"/>
      <c r="L82" s="7">
        <f t="shared" si="54"/>
        <v>1011.3199999999999</v>
      </c>
      <c r="M82" s="2"/>
      <c r="N82" s="6">
        <f t="shared" si="55"/>
        <v>1.7258020477815699</v>
      </c>
      <c r="O82" s="11"/>
      <c r="P82" s="7">
        <v>3644.73</v>
      </c>
      <c r="Q82" s="2"/>
      <c r="R82" s="6">
        <f t="shared" si="56"/>
        <v>1.8030143290152765E-2</v>
      </c>
      <c r="S82" s="2"/>
      <c r="T82" s="7">
        <v>2153</v>
      </c>
      <c r="U82" s="2"/>
      <c r="V82" s="6">
        <f t="shared" si="57"/>
        <v>1.2424259911131628E-2</v>
      </c>
      <c r="W82" s="2"/>
      <c r="X82" s="7">
        <f t="shared" si="58"/>
        <v>1491.73</v>
      </c>
      <c r="Y82" s="2"/>
      <c r="Z82" s="6">
        <f t="shared" si="59"/>
        <v>0.69286112401300515</v>
      </c>
    </row>
    <row r="83" spans="1:26" s="24" customFormat="1" hidden="1" outlineLevel="2" x14ac:dyDescent="0.25">
      <c r="A83" s="29"/>
      <c r="B83" s="11" t="str">
        <f>CONCATENATE("          ", "6239", " - ", "KITCHEN SUPPLIES")</f>
        <v xml:space="preserve">          6239 - KITCHEN SUPPLIES</v>
      </c>
      <c r="C83" s="11"/>
      <c r="D83" s="7">
        <v>820.56</v>
      </c>
      <c r="E83" s="2"/>
      <c r="F83" s="6">
        <f t="shared" si="52"/>
        <v>6.3039793985191148E-3</v>
      </c>
      <c r="G83" s="2"/>
      <c r="H83" s="7">
        <v>13</v>
      </c>
      <c r="I83" s="2"/>
      <c r="J83" s="6">
        <f t="shared" si="53"/>
        <v>1.0856765852965985E-4</v>
      </c>
      <c r="K83" s="2"/>
      <c r="L83" s="7">
        <f t="shared" si="54"/>
        <v>807.56</v>
      </c>
      <c r="M83" s="2"/>
      <c r="N83" s="6">
        <f t="shared" si="55"/>
        <v>62.12</v>
      </c>
      <c r="O83" s="11"/>
      <c r="P83" s="7">
        <v>1071.19</v>
      </c>
      <c r="Q83" s="2"/>
      <c r="R83" s="6">
        <f t="shared" si="56"/>
        <v>5.2990781734116761E-3</v>
      </c>
      <c r="S83" s="2"/>
      <c r="T83" s="7">
        <v>5249</v>
      </c>
      <c r="U83" s="2"/>
      <c r="V83" s="6">
        <f t="shared" si="57"/>
        <v>3.0290264873910785E-2</v>
      </c>
      <c r="W83" s="2"/>
      <c r="X83" s="7">
        <f t="shared" si="58"/>
        <v>-4177.8099999999995</v>
      </c>
      <c r="Y83" s="2"/>
      <c r="Z83" s="6">
        <f t="shared" si="59"/>
        <v>-0.79592493808344433</v>
      </c>
    </row>
    <row r="84" spans="1:26" s="24" customFormat="1" hidden="1" outlineLevel="2" x14ac:dyDescent="0.25">
      <c r="A84" s="29"/>
      <c r="B84" s="11" t="str">
        <f>CONCATENATE("          ", "6241", " - ", "OFFICE EXPENSE")</f>
        <v xml:space="preserve">          6241 - OFFICE EXPENSE</v>
      </c>
      <c r="C84" s="11"/>
      <c r="D84" s="7">
        <v>194.6</v>
      </c>
      <c r="E84" s="2"/>
      <c r="F84" s="6">
        <f t="shared" si="52"/>
        <v>1.4950209502678899E-3</v>
      </c>
      <c r="G84" s="2"/>
      <c r="H84" s="7">
        <v>283</v>
      </c>
      <c r="I84" s="2"/>
      <c r="J84" s="6">
        <f t="shared" si="53"/>
        <v>2.3634344126072107E-3</v>
      </c>
      <c r="K84" s="2"/>
      <c r="L84" s="7">
        <f t="shared" si="54"/>
        <v>-88.4</v>
      </c>
      <c r="M84" s="2"/>
      <c r="N84" s="6">
        <f t="shared" si="55"/>
        <v>-0.31236749116607776</v>
      </c>
      <c r="O84" s="11"/>
      <c r="P84" s="7">
        <v>2061.86</v>
      </c>
      <c r="Q84" s="2"/>
      <c r="R84" s="6">
        <f t="shared" si="56"/>
        <v>1.0199831330231425E-2</v>
      </c>
      <c r="S84" s="2"/>
      <c r="T84" s="7">
        <v>2877</v>
      </c>
      <c r="U84" s="2"/>
      <c r="V84" s="6">
        <f t="shared" si="57"/>
        <v>1.6602227479946909E-2</v>
      </c>
      <c r="W84" s="2"/>
      <c r="X84" s="7">
        <f t="shared" si="58"/>
        <v>-815.13999999999987</v>
      </c>
      <c r="Y84" s="2"/>
      <c r="Z84" s="6">
        <f t="shared" si="59"/>
        <v>-0.28332985749044137</v>
      </c>
    </row>
    <row r="85" spans="1:26" s="24" customFormat="1" hidden="1" outlineLevel="2" x14ac:dyDescent="0.25">
      <c r="A85" s="29"/>
      <c r="B85" s="11" t="str">
        <f>CONCATENATE("          ", "6243", " - ", "PAPER SUPPLIES")</f>
        <v xml:space="preserve">          6243 - PAPER SUPPLIES</v>
      </c>
      <c r="C85" s="11"/>
      <c r="D85" s="7">
        <v>50.56</v>
      </c>
      <c r="E85" s="2"/>
      <c r="F85" s="6">
        <f t="shared" si="52"/>
        <v>3.88428875876385E-4</v>
      </c>
      <c r="G85" s="2"/>
      <c r="H85" s="7">
        <v>1023</v>
      </c>
      <c r="I85" s="2"/>
      <c r="J85" s="6">
        <f t="shared" si="53"/>
        <v>8.5434395904493872E-3</v>
      </c>
      <c r="K85" s="2"/>
      <c r="L85" s="7">
        <f t="shared" si="54"/>
        <v>-972.44</v>
      </c>
      <c r="M85" s="2"/>
      <c r="N85" s="6">
        <f t="shared" si="55"/>
        <v>-0.95057673509286422</v>
      </c>
      <c r="O85" s="11"/>
      <c r="P85" s="7">
        <v>536.79</v>
      </c>
      <c r="Q85" s="2"/>
      <c r="R85" s="6">
        <f t="shared" si="56"/>
        <v>2.6554506415347916E-3</v>
      </c>
      <c r="S85" s="2"/>
      <c r="T85" s="7">
        <v>2833</v>
      </c>
      <c r="U85" s="2"/>
      <c r="V85" s="6">
        <f t="shared" si="57"/>
        <v>1.6348317848692943E-2</v>
      </c>
      <c r="W85" s="2"/>
      <c r="X85" s="7">
        <f t="shared" si="58"/>
        <v>-2296.21</v>
      </c>
      <c r="Y85" s="2"/>
      <c r="Z85" s="6">
        <f t="shared" si="59"/>
        <v>-0.81052241440169437</v>
      </c>
    </row>
    <row r="86" spans="1:26" s="24" customFormat="1" hidden="1" outlineLevel="2" x14ac:dyDescent="0.25">
      <c r="A86" s="29"/>
      <c r="B86" s="11" t="str">
        <f>CONCATENATE("          ", "6244", " - ", "SAFETY SUPPLY EXPENSE")</f>
        <v xml:space="preserve">          6244 - SAFETY SUPPLY EXPENSE</v>
      </c>
      <c r="C86" s="11"/>
      <c r="D86" s="7"/>
      <c r="E86" s="2"/>
      <c r="F86" s="6">
        <f t="shared" si="52"/>
        <v>0</v>
      </c>
      <c r="G86" s="2"/>
      <c r="H86" s="7"/>
      <c r="I86" s="2"/>
      <c r="J86" s="6">
        <f t="shared" si="53"/>
        <v>0</v>
      </c>
      <c r="K86" s="2"/>
      <c r="L86" s="7">
        <f t="shared" si="54"/>
        <v>0</v>
      </c>
      <c r="M86" s="2"/>
      <c r="N86" s="6">
        <f t="shared" si="55"/>
        <v>0</v>
      </c>
      <c r="O86" s="11"/>
      <c r="P86" s="7"/>
      <c r="Q86" s="2"/>
      <c r="R86" s="6">
        <f t="shared" si="56"/>
        <v>0</v>
      </c>
      <c r="S86" s="2"/>
      <c r="T86" s="7">
        <v>50</v>
      </c>
      <c r="U86" s="2"/>
      <c r="V86" s="6">
        <f t="shared" si="57"/>
        <v>2.8853367187950835E-4</v>
      </c>
      <c r="W86" s="2"/>
      <c r="X86" s="7">
        <f t="shared" si="58"/>
        <v>-50</v>
      </c>
      <c r="Y86" s="2"/>
      <c r="Z86" s="6">
        <f t="shared" si="59"/>
        <v>-1</v>
      </c>
    </row>
    <row r="87" spans="1:26" s="24" customFormat="1" hidden="1" outlineLevel="2" x14ac:dyDescent="0.25">
      <c r="A87" s="29"/>
      <c r="B87" s="11" t="str">
        <f>CONCATENATE("          ", "6245", " - ", "PRINTING")</f>
        <v xml:space="preserve">          6245 - PRINTING</v>
      </c>
      <c r="C87" s="11"/>
      <c r="D87" s="7"/>
      <c r="E87" s="2"/>
      <c r="F87" s="6">
        <f t="shared" si="52"/>
        <v>0</v>
      </c>
      <c r="G87" s="2"/>
      <c r="H87" s="7">
        <v>100</v>
      </c>
      <c r="I87" s="2"/>
      <c r="J87" s="6">
        <f t="shared" si="53"/>
        <v>8.3513583484353727E-4</v>
      </c>
      <c r="K87" s="2"/>
      <c r="L87" s="7">
        <f t="shared" si="54"/>
        <v>-100</v>
      </c>
      <c r="M87" s="2"/>
      <c r="N87" s="6">
        <f t="shared" si="55"/>
        <v>-1</v>
      </c>
      <c r="O87" s="11"/>
      <c r="P87" s="7"/>
      <c r="Q87" s="2"/>
      <c r="R87" s="6">
        <f t="shared" si="56"/>
        <v>0</v>
      </c>
      <c r="S87" s="2"/>
      <c r="T87" s="7">
        <v>800</v>
      </c>
      <c r="U87" s="2"/>
      <c r="V87" s="6">
        <f t="shared" si="57"/>
        <v>4.6165387500721336E-3</v>
      </c>
      <c r="W87" s="2"/>
      <c r="X87" s="7">
        <f t="shared" si="58"/>
        <v>-800</v>
      </c>
      <c r="Y87" s="2"/>
      <c r="Z87" s="6">
        <f t="shared" si="59"/>
        <v>-1</v>
      </c>
    </row>
    <row r="88" spans="1:26" s="24" customFormat="1" hidden="1" outlineLevel="2" x14ac:dyDescent="0.25">
      <c r="A88" s="29"/>
      <c r="B88" s="11" t="str">
        <f>CONCATENATE("          ", "6247", " - ", "STORE SUPPLIES")</f>
        <v xml:space="preserve">          6247 - STORE SUPPLIES</v>
      </c>
      <c r="C88" s="11"/>
      <c r="D88" s="7">
        <v>213.98</v>
      </c>
      <c r="E88" s="2"/>
      <c r="F88" s="6">
        <f t="shared" si="52"/>
        <v>1.6439084426429758E-3</v>
      </c>
      <c r="G88" s="2"/>
      <c r="H88" s="7"/>
      <c r="I88" s="2"/>
      <c r="J88" s="6">
        <f t="shared" si="53"/>
        <v>0</v>
      </c>
      <c r="K88" s="2"/>
      <c r="L88" s="7">
        <f t="shared" si="54"/>
        <v>213.98</v>
      </c>
      <c r="M88" s="2"/>
      <c r="N88" s="6">
        <f t="shared" si="55"/>
        <v>0</v>
      </c>
      <c r="O88" s="11"/>
      <c r="P88" s="7">
        <v>413.98</v>
      </c>
      <c r="Q88" s="2"/>
      <c r="R88" s="6">
        <f t="shared" si="56"/>
        <v>2.0479208937993873E-3</v>
      </c>
      <c r="S88" s="2"/>
      <c r="T88" s="7">
        <v>411</v>
      </c>
      <c r="U88" s="2"/>
      <c r="V88" s="6">
        <f t="shared" si="57"/>
        <v>2.3717467828495587E-3</v>
      </c>
      <c r="W88" s="2"/>
      <c r="X88" s="7">
        <f t="shared" si="58"/>
        <v>2.9800000000000182</v>
      </c>
      <c r="Y88" s="2"/>
      <c r="Z88" s="6">
        <f t="shared" si="59"/>
        <v>7.2506082725061266E-3</v>
      </c>
    </row>
    <row r="89" spans="1:26" s="24" customFormat="1" hidden="1" outlineLevel="2" x14ac:dyDescent="0.25">
      <c r="A89" s="29"/>
      <c r="B89" s="11" t="str">
        <f>CONCATENATE("          ", "6248", " - ", "UNIFORMS")</f>
        <v xml:space="preserve">          6248 - UNIFORMS</v>
      </c>
      <c r="C89" s="11"/>
      <c r="D89" s="7"/>
      <c r="E89" s="2"/>
      <c r="F89" s="6">
        <f t="shared" si="52"/>
        <v>0</v>
      </c>
      <c r="G89" s="2"/>
      <c r="H89" s="7"/>
      <c r="I89" s="2"/>
      <c r="J89" s="6">
        <f t="shared" si="53"/>
        <v>0</v>
      </c>
      <c r="K89" s="2"/>
      <c r="L89" s="7">
        <f t="shared" si="54"/>
        <v>0</v>
      </c>
      <c r="M89" s="2"/>
      <c r="N89" s="6">
        <f t="shared" si="55"/>
        <v>0</v>
      </c>
      <c r="O89" s="11"/>
      <c r="P89" s="7"/>
      <c r="Q89" s="2"/>
      <c r="R89" s="6">
        <f t="shared" si="56"/>
        <v>0</v>
      </c>
      <c r="S89" s="2"/>
      <c r="T89" s="7">
        <v>2600</v>
      </c>
      <c r="U89" s="2"/>
      <c r="V89" s="6">
        <f t="shared" si="57"/>
        <v>1.5003750937734433E-2</v>
      </c>
      <c r="W89" s="2"/>
      <c r="X89" s="7">
        <f t="shared" si="58"/>
        <v>-2600</v>
      </c>
      <c r="Y89" s="2"/>
      <c r="Z89" s="6">
        <f t="shared" si="59"/>
        <v>-1</v>
      </c>
    </row>
    <row r="90" spans="1:26" s="28" customFormat="1" outlineLevel="1" collapsed="1" x14ac:dyDescent="0.25">
      <c r="A90" s="27"/>
      <c r="B90" s="14" t="str">
        <f>CONCATENATE("     ","Telephone/Data Lines                              ")</f>
        <v xml:space="preserve">     Telephone/Data Lines                              </v>
      </c>
      <c r="C90" s="14"/>
      <c r="D90" s="1">
        <f>SUM(OSRRefD22_16x_0)</f>
        <v>647.28</v>
      </c>
      <c r="E90" s="1"/>
      <c r="F90" s="5">
        <f t="shared" ref="F90:F92" si="60">IF(D$12=0,0,D90/D$12)</f>
        <v>4.9727500549301123E-3</v>
      </c>
      <c r="G90" s="1"/>
      <c r="H90" s="1">
        <f>SUM(OSRRefH22_16x_0)</f>
        <v>360</v>
      </c>
      <c r="I90" s="1"/>
      <c r="J90" s="5">
        <f t="shared" ref="J90:J92" si="61">IF(H$12=0,0,H90/H$12)</f>
        <v>3.0064890054367342E-3</v>
      </c>
      <c r="K90" s="1"/>
      <c r="L90" s="1">
        <f t="shared" ref="L90:L92" si="62">+D90-H90</f>
        <v>287.27999999999997</v>
      </c>
      <c r="M90" s="1"/>
      <c r="N90" s="5">
        <f t="shared" ref="N90:N92" si="63">IF(H90=0,0,L90/H90)</f>
        <v>0.79799999999999993</v>
      </c>
      <c r="O90" s="14"/>
      <c r="P90" s="1">
        <f>SUM(OSRRefP22_16x_0)</f>
        <v>1892.78</v>
      </c>
      <c r="Q90" s="1"/>
      <c r="R90" s="5">
        <f t="shared" ref="R90:R92" si="64">IF(P$12=0,0,P90/P$12)</f>
        <v>9.3634081582820525E-3</v>
      </c>
      <c r="S90" s="1"/>
      <c r="T90" s="1">
        <f>SUM(OSRRefT22_16x_0)</f>
        <v>1230</v>
      </c>
      <c r="U90" s="1"/>
      <c r="V90" s="5">
        <f t="shared" ref="V90:V92" si="65">IF(T$12=0,0,T90/T$12)</f>
        <v>7.0979283282359053E-3</v>
      </c>
      <c r="W90" s="1"/>
      <c r="X90" s="1">
        <f t="shared" ref="X90:X92" si="66">+P90-T90</f>
        <v>662.78</v>
      </c>
      <c r="Y90" s="1"/>
      <c r="Z90" s="5">
        <f t="shared" ref="Z90:Z92" si="67">IF(T90=0,0,X90/T90)</f>
        <v>0.53884552845528455</v>
      </c>
    </row>
    <row r="91" spans="1:26" s="24" customFormat="1" hidden="1" outlineLevel="2" x14ac:dyDescent="0.25">
      <c r="A91" s="29"/>
      <c r="B91" s="11" t="str">
        <f>CONCATENATE("          ", "6303", " - ", "DATA PHONE LINES")</f>
        <v xml:space="preserve">          6303 - DATA PHONE LINES</v>
      </c>
      <c r="C91" s="11"/>
      <c r="D91" s="7"/>
      <c r="E91" s="2"/>
      <c r="F91" s="6">
        <f t="shared" si="60"/>
        <v>0</v>
      </c>
      <c r="G91" s="2"/>
      <c r="H91" s="7">
        <v>135</v>
      </c>
      <c r="I91" s="2"/>
      <c r="J91" s="6">
        <f t="shared" si="61"/>
        <v>1.1274333770387754E-3</v>
      </c>
      <c r="K91" s="2"/>
      <c r="L91" s="7">
        <f t="shared" si="62"/>
        <v>-135</v>
      </c>
      <c r="M91" s="2"/>
      <c r="N91" s="6">
        <f t="shared" si="63"/>
        <v>-1</v>
      </c>
      <c r="O91" s="11"/>
      <c r="P91" s="7"/>
      <c r="Q91" s="2"/>
      <c r="R91" s="6">
        <f t="shared" si="64"/>
        <v>0</v>
      </c>
      <c r="S91" s="2"/>
      <c r="T91" s="7">
        <v>405</v>
      </c>
      <c r="U91" s="2"/>
      <c r="V91" s="6">
        <f t="shared" si="65"/>
        <v>2.3371227422240176E-3</v>
      </c>
      <c r="W91" s="2"/>
      <c r="X91" s="7">
        <f t="shared" si="66"/>
        <v>-405</v>
      </c>
      <c r="Y91" s="2"/>
      <c r="Z91" s="6">
        <f t="shared" si="67"/>
        <v>-1</v>
      </c>
    </row>
    <row r="92" spans="1:26" s="24" customFormat="1" hidden="1" outlineLevel="2" x14ac:dyDescent="0.25">
      <c r="A92" s="29"/>
      <c r="B92" s="11" t="str">
        <f>CONCATENATE("          ", "6309", " - ", "TELEPHONE")</f>
        <v xml:space="preserve">          6309 - TELEPHONE</v>
      </c>
      <c r="C92" s="11"/>
      <c r="D92" s="7">
        <v>647.28</v>
      </c>
      <c r="E92" s="2"/>
      <c r="F92" s="6">
        <f t="shared" si="60"/>
        <v>4.9727500549301123E-3</v>
      </c>
      <c r="G92" s="2"/>
      <c r="H92" s="7">
        <v>225</v>
      </c>
      <c r="I92" s="2"/>
      <c r="J92" s="6">
        <f t="shared" si="61"/>
        <v>1.879055628397959E-3</v>
      </c>
      <c r="K92" s="2"/>
      <c r="L92" s="7">
        <f t="shared" si="62"/>
        <v>422.28</v>
      </c>
      <c r="M92" s="2"/>
      <c r="N92" s="6">
        <f t="shared" si="63"/>
        <v>1.8767999999999998</v>
      </c>
      <c r="O92" s="11"/>
      <c r="P92" s="7">
        <v>1892.78</v>
      </c>
      <c r="Q92" s="2"/>
      <c r="R92" s="6">
        <f t="shared" si="64"/>
        <v>9.3634081582820525E-3</v>
      </c>
      <c r="S92" s="2"/>
      <c r="T92" s="7">
        <v>825</v>
      </c>
      <c r="U92" s="2"/>
      <c r="V92" s="6">
        <f t="shared" si="65"/>
        <v>4.7608055860118874E-3</v>
      </c>
      <c r="W92" s="2"/>
      <c r="X92" s="7">
        <f t="shared" si="66"/>
        <v>1067.78</v>
      </c>
      <c r="Y92" s="2"/>
      <c r="Z92" s="6">
        <f t="shared" si="67"/>
        <v>1.2942787878787878</v>
      </c>
    </row>
    <row r="93" spans="1:26" s="28" customFormat="1" outlineLevel="1" collapsed="1" x14ac:dyDescent="0.25">
      <c r="A93" s="27"/>
      <c r="B93" s="14" t="str">
        <f>CONCATENATE("     ","Training                                          ")</f>
        <v xml:space="preserve">     Training                                          </v>
      </c>
      <c r="C93" s="14"/>
      <c r="D93" s="1">
        <f>SUM(OSRRefD22_17x_0)</f>
        <v>0</v>
      </c>
      <c r="E93" s="1"/>
      <c r="F93" s="5">
        <f t="shared" ref="F93:F96" si="68">IF(D$12=0,0,D93/D$12)</f>
        <v>0</v>
      </c>
      <c r="G93" s="1"/>
      <c r="H93" s="1">
        <f>SUM(OSRRefH22_17x_0)</f>
        <v>200</v>
      </c>
      <c r="I93" s="1"/>
      <c r="J93" s="5">
        <f t="shared" ref="J93:J96" si="69">IF(H$12=0,0,H93/H$12)</f>
        <v>1.6702716696870745E-3</v>
      </c>
      <c r="K93" s="1"/>
      <c r="L93" s="1">
        <f t="shared" ref="L93:L96" si="70">+D93-H93</f>
        <v>-200</v>
      </c>
      <c r="M93" s="1"/>
      <c r="N93" s="5">
        <f t="shared" ref="N93:N96" si="71">IF(H93=0,0,L93/H93)</f>
        <v>-1</v>
      </c>
      <c r="O93" s="14"/>
      <c r="P93" s="1">
        <f>SUM(OSRRefP22_17x_0)</f>
        <v>0</v>
      </c>
      <c r="Q93" s="1"/>
      <c r="R93" s="5">
        <f t="shared" ref="R93:R96" si="72">IF(P$12=0,0,P93/P$12)</f>
        <v>0</v>
      </c>
      <c r="S93" s="1"/>
      <c r="T93" s="1">
        <f>SUM(OSRRefT22_17x_0)</f>
        <v>800</v>
      </c>
      <c r="U93" s="1"/>
      <c r="V93" s="5">
        <f t="shared" ref="V93:V96" si="73">IF(T$12=0,0,T93/T$12)</f>
        <v>4.6165387500721336E-3</v>
      </c>
      <c r="W93" s="1"/>
      <c r="X93" s="1">
        <f t="shared" ref="X93:X96" si="74">+P93-T93</f>
        <v>-800</v>
      </c>
      <c r="Y93" s="1"/>
      <c r="Z93" s="5">
        <f t="shared" ref="Z93:Z96" si="75">IF(T93=0,0,X93/T93)</f>
        <v>-1</v>
      </c>
    </row>
    <row r="94" spans="1:26" s="24" customFormat="1" hidden="1" outlineLevel="2" x14ac:dyDescent="0.25">
      <c r="A94" s="29"/>
      <c r="B94" s="11" t="str">
        <f>CONCATENATE("          ", "6376", " - ", "TRAINING")</f>
        <v xml:space="preserve">          6376 - TRAINING</v>
      </c>
      <c r="C94" s="11"/>
      <c r="D94" s="7"/>
      <c r="E94" s="2"/>
      <c r="F94" s="6">
        <f t="shared" si="68"/>
        <v>0</v>
      </c>
      <c r="G94" s="2"/>
      <c r="H94" s="7">
        <v>200</v>
      </c>
      <c r="I94" s="2"/>
      <c r="J94" s="6">
        <f t="shared" si="69"/>
        <v>1.6702716696870745E-3</v>
      </c>
      <c r="K94" s="2"/>
      <c r="L94" s="7">
        <f t="shared" si="70"/>
        <v>-200</v>
      </c>
      <c r="M94" s="2"/>
      <c r="N94" s="6">
        <f t="shared" si="71"/>
        <v>-1</v>
      </c>
      <c r="O94" s="11"/>
      <c r="P94" s="7"/>
      <c r="Q94" s="2"/>
      <c r="R94" s="6">
        <f t="shared" si="72"/>
        <v>0</v>
      </c>
      <c r="S94" s="2"/>
      <c r="T94" s="7">
        <v>800</v>
      </c>
      <c r="U94" s="2"/>
      <c r="V94" s="6">
        <f t="shared" si="73"/>
        <v>4.6165387500721336E-3</v>
      </c>
      <c r="W94" s="2"/>
      <c r="X94" s="7">
        <f t="shared" si="74"/>
        <v>-800</v>
      </c>
      <c r="Y94" s="2"/>
      <c r="Z94" s="6">
        <f t="shared" si="75"/>
        <v>-1</v>
      </c>
    </row>
    <row r="95" spans="1:26" s="28" customFormat="1" outlineLevel="1" collapsed="1" x14ac:dyDescent="0.25">
      <c r="A95" s="27"/>
      <c r="B95" s="14" t="str">
        <f>CONCATENATE("     ","Utilities                                         ")</f>
        <v xml:space="preserve">     Utilities                                         </v>
      </c>
      <c r="C95" s="14"/>
      <c r="D95" s="1">
        <f>SUM(OSRRefD22_18x_0)</f>
        <v>8150</v>
      </c>
      <c r="E95" s="1"/>
      <c r="F95" s="5">
        <f t="shared" si="68"/>
        <v>6.2612645142257464E-2</v>
      </c>
      <c r="G95" s="1"/>
      <c r="H95" s="1">
        <f>SUM(OSRRefH22_18x_0)</f>
        <v>8667</v>
      </c>
      <c r="I95" s="1"/>
      <c r="J95" s="5">
        <f t="shared" si="69"/>
        <v>7.2381222805889378E-2</v>
      </c>
      <c r="K95" s="1"/>
      <c r="L95" s="1">
        <f t="shared" si="70"/>
        <v>-517</v>
      </c>
      <c r="M95" s="1"/>
      <c r="N95" s="5">
        <f t="shared" si="71"/>
        <v>-5.9651551863389871E-2</v>
      </c>
      <c r="O95" s="14"/>
      <c r="P95" s="1">
        <f>SUM(OSRRefP22_18x_0)</f>
        <v>24450</v>
      </c>
      <c r="Q95" s="1"/>
      <c r="R95" s="5">
        <f t="shared" si="72"/>
        <v>0.12095189587273544</v>
      </c>
      <c r="S95" s="1"/>
      <c r="T95" s="1">
        <f>SUM(OSRRefT22_18x_0)</f>
        <v>26001</v>
      </c>
      <c r="U95" s="1"/>
      <c r="V95" s="5">
        <f t="shared" si="73"/>
        <v>0.15004328005078194</v>
      </c>
      <c r="W95" s="1"/>
      <c r="X95" s="1">
        <f t="shared" si="74"/>
        <v>-1551</v>
      </c>
      <c r="Y95" s="1"/>
      <c r="Z95" s="5">
        <f t="shared" si="75"/>
        <v>-5.9651551863389871E-2</v>
      </c>
    </row>
    <row r="96" spans="1:26" s="24" customFormat="1" hidden="1" outlineLevel="2" x14ac:dyDescent="0.25">
      <c r="A96" s="29"/>
      <c r="B96" s="11" t="str">
        <f>CONCATENATE("          ", "6274", " - ", "UTILITIES")</f>
        <v xml:space="preserve">          6274 - UTILITIES</v>
      </c>
      <c r="C96" s="11"/>
      <c r="D96" s="7">
        <v>8150</v>
      </c>
      <c r="E96" s="2"/>
      <c r="F96" s="6">
        <f t="shared" si="68"/>
        <v>6.2612645142257464E-2</v>
      </c>
      <c r="G96" s="2"/>
      <c r="H96" s="7">
        <v>8667</v>
      </c>
      <c r="I96" s="2"/>
      <c r="J96" s="6">
        <f t="shared" si="69"/>
        <v>7.2381222805889378E-2</v>
      </c>
      <c r="K96" s="2"/>
      <c r="L96" s="7">
        <f t="shared" si="70"/>
        <v>-517</v>
      </c>
      <c r="M96" s="2"/>
      <c r="N96" s="6">
        <f t="shared" si="71"/>
        <v>-5.9651551863389871E-2</v>
      </c>
      <c r="O96" s="11"/>
      <c r="P96" s="7">
        <v>24450</v>
      </c>
      <c r="Q96" s="2"/>
      <c r="R96" s="6">
        <f t="shared" si="72"/>
        <v>0.12095189587273544</v>
      </c>
      <c r="S96" s="2"/>
      <c r="T96" s="7">
        <v>26001</v>
      </c>
      <c r="U96" s="2"/>
      <c r="V96" s="6">
        <f t="shared" si="73"/>
        <v>0.15004328005078194</v>
      </c>
      <c r="W96" s="2"/>
      <c r="X96" s="7">
        <f t="shared" si="74"/>
        <v>-1551</v>
      </c>
      <c r="Y96" s="2"/>
      <c r="Z96" s="6">
        <f t="shared" si="75"/>
        <v>-5.9651551863389871E-2</v>
      </c>
    </row>
    <row r="97" spans="1:26" s="58" customFormat="1" x14ac:dyDescent="0.25">
      <c r="A97" s="36"/>
      <c r="B97" s="36"/>
      <c r="C97" s="36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6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collapsed="1" x14ac:dyDescent="0.25">
      <c r="A98" s="10"/>
      <c r="B98" s="26" t="s">
        <v>293</v>
      </c>
      <c r="C98" s="10"/>
      <c r="D98" s="4">
        <f>SUM(OSRRefD25x_0)</f>
        <v>2991.7999999999993</v>
      </c>
      <c r="E98" s="4"/>
      <c r="F98" s="12">
        <f t="shared" ref="F98:F101" si="76">IF(D$12=0,0,D98/D$12)</f>
        <v>2.2984602667068203E-2</v>
      </c>
      <c r="G98" s="4"/>
      <c r="H98" s="4">
        <f>SUM(OSRRefH25x_0)</f>
        <v>250</v>
      </c>
      <c r="I98" s="4"/>
      <c r="J98" s="12">
        <f t="shared" ref="J98:J101" si="77">IF(H$12=0,0,H98/H$12)</f>
        <v>2.0878395871088431E-3</v>
      </c>
      <c r="K98" s="4"/>
      <c r="L98" s="4">
        <f t="shared" ref="L98:L101" si="78">+D98-H98</f>
        <v>2741.7999999999993</v>
      </c>
      <c r="M98" s="4"/>
      <c r="N98" s="12">
        <f t="shared" ref="N98:N101" si="79">IF(H98=0,0,L98/H98)</f>
        <v>10.967199999999997</v>
      </c>
      <c r="O98" s="10"/>
      <c r="P98" s="4">
        <f>SUM(OSRRefP25x_0)</f>
        <v>17194.05</v>
      </c>
      <c r="Q98" s="4"/>
      <c r="R98" s="12">
        <f t="shared" ref="R98:R101" si="80">IF(P$12=0,0,P98/P$12)</f>
        <v>8.5057380173030953E-2</v>
      </c>
      <c r="S98" s="4"/>
      <c r="T98" s="4">
        <f>SUM(OSRRefT25x_0)</f>
        <v>250</v>
      </c>
      <c r="U98" s="4"/>
      <c r="V98" s="12">
        <f t="shared" ref="V98:V101" si="81">IF(T$12=0,0,T98/T$12)</f>
        <v>1.4426683593975417E-3</v>
      </c>
      <c r="W98" s="4"/>
      <c r="X98" s="4">
        <f t="shared" ref="X98:X101" si="82">+P98-T98</f>
        <v>16944.05</v>
      </c>
      <c r="Y98" s="4"/>
      <c r="Z98" s="12">
        <f t="shared" ref="Z98:Z101" si="83">IF(T98=0,0,X98/T98)</f>
        <v>67.776200000000003</v>
      </c>
    </row>
    <row r="99" spans="1:26" s="24" customFormat="1" hidden="1" outlineLevel="1" x14ac:dyDescent="0.25">
      <c r="A99" s="44"/>
      <c r="B99" s="11" t="str">
        <f>CONCATENATE("          ", "9150", " - ", "MISC. INCOME")</f>
        <v xml:space="preserve">          9150 - MISC. INCOME</v>
      </c>
      <c r="C99" s="11"/>
      <c r="D99" s="2">
        <f>--14735.43</f>
        <v>14735.43</v>
      </c>
      <c r="E99" s="2"/>
      <c r="F99" s="19">
        <f t="shared" si="76"/>
        <v>0.11320542939982516</v>
      </c>
      <c r="G99" s="2"/>
      <c r="H99" s="2">
        <v>250</v>
      </c>
      <c r="I99" s="2"/>
      <c r="J99" s="19">
        <f t="shared" si="77"/>
        <v>2.0878395871088431E-3</v>
      </c>
      <c r="K99" s="2"/>
      <c r="L99" s="2">
        <f t="shared" si="78"/>
        <v>14485.43</v>
      </c>
      <c r="M99" s="2"/>
      <c r="N99" s="19">
        <f t="shared" si="79"/>
        <v>57.941720000000004</v>
      </c>
      <c r="O99" s="11"/>
      <c r="P99" s="2">
        <f>--17194.05</f>
        <v>17194.05</v>
      </c>
      <c r="Q99" s="2"/>
      <c r="R99" s="19">
        <f t="shared" si="80"/>
        <v>8.5057380173030953E-2</v>
      </c>
      <c r="S99" s="2"/>
      <c r="T99" s="2">
        <v>250</v>
      </c>
      <c r="U99" s="2"/>
      <c r="V99" s="19">
        <f t="shared" si="81"/>
        <v>1.4426683593975417E-3</v>
      </c>
      <c r="W99" s="2"/>
      <c r="X99" s="2">
        <f t="shared" si="82"/>
        <v>16944.05</v>
      </c>
      <c r="Y99" s="2"/>
      <c r="Z99" s="19">
        <f t="shared" si="83"/>
        <v>67.776200000000003</v>
      </c>
    </row>
    <row r="100" spans="1:26" s="24" customFormat="1" hidden="1" outlineLevel="1" x14ac:dyDescent="0.25">
      <c r="A100" s="44"/>
      <c r="B100" s="11" t="str">
        <f>CONCATENATE("          ", "9160", " - ", "MISC. INCOME")</f>
        <v xml:space="preserve">          9160 - MISC. INCOME</v>
      </c>
      <c r="C100" s="11"/>
      <c r="D100" s="2">
        <f>-11238.12</f>
        <v>-11238.12</v>
      </c>
      <c r="E100" s="2"/>
      <c r="F100" s="19">
        <f t="shared" si="76"/>
        <v>-8.6337229401976259E-2</v>
      </c>
      <c r="G100" s="2"/>
      <c r="H100" s="2"/>
      <c r="I100" s="2"/>
      <c r="J100" s="19">
        <f t="shared" si="77"/>
        <v>0</v>
      </c>
      <c r="K100" s="2"/>
      <c r="L100" s="2">
        <f t="shared" si="78"/>
        <v>-11238.12</v>
      </c>
      <c r="M100" s="2"/>
      <c r="N100" s="19">
        <f t="shared" si="79"/>
        <v>0</v>
      </c>
      <c r="O100" s="11"/>
      <c r="P100" s="2">
        <f t="shared" ref="P100:P101" si="84">0</f>
        <v>0</v>
      </c>
      <c r="Q100" s="2"/>
      <c r="R100" s="19">
        <f t="shared" si="80"/>
        <v>0</v>
      </c>
      <c r="S100" s="2"/>
      <c r="T100" s="2"/>
      <c r="U100" s="2"/>
      <c r="V100" s="19">
        <f t="shared" si="81"/>
        <v>0</v>
      </c>
      <c r="W100" s="2"/>
      <c r="X100" s="2">
        <f t="shared" si="82"/>
        <v>0</v>
      </c>
      <c r="Y100" s="2"/>
      <c r="Z100" s="19">
        <f t="shared" si="83"/>
        <v>0</v>
      </c>
    </row>
    <row r="101" spans="1:26" s="24" customFormat="1" hidden="1" outlineLevel="1" x14ac:dyDescent="0.25">
      <c r="A101" s="44"/>
      <c r="B101" s="11" t="str">
        <f>CONCATENATE("          ", "9165", " - ", "OTHER INCOME")</f>
        <v xml:space="preserve">          9165 - OTHER INCOME</v>
      </c>
      <c r="C101" s="11"/>
      <c r="D101" s="2">
        <f>-505.51</f>
        <v>-505.51</v>
      </c>
      <c r="E101" s="2"/>
      <c r="F101" s="19">
        <f t="shared" si="76"/>
        <v>-3.8835973307806836E-3</v>
      </c>
      <c r="G101" s="2"/>
      <c r="H101" s="2"/>
      <c r="I101" s="2"/>
      <c r="J101" s="19">
        <f t="shared" si="77"/>
        <v>0</v>
      </c>
      <c r="K101" s="2"/>
      <c r="L101" s="2">
        <f t="shared" si="78"/>
        <v>-505.51</v>
      </c>
      <c r="M101" s="2"/>
      <c r="N101" s="19">
        <f t="shared" si="79"/>
        <v>0</v>
      </c>
      <c r="O101" s="11"/>
      <c r="P101" s="2">
        <f t="shared" si="84"/>
        <v>0</v>
      </c>
      <c r="Q101" s="2"/>
      <c r="R101" s="19">
        <f t="shared" si="80"/>
        <v>0</v>
      </c>
      <c r="S101" s="2"/>
      <c r="T101" s="2"/>
      <c r="U101" s="2"/>
      <c r="V101" s="19">
        <f t="shared" si="81"/>
        <v>0</v>
      </c>
      <c r="W101" s="2"/>
      <c r="X101" s="2">
        <f t="shared" si="82"/>
        <v>0</v>
      </c>
      <c r="Y101" s="2"/>
      <c r="Z101" s="19">
        <f t="shared" si="83"/>
        <v>0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10"/>
      <c r="B103" s="25" t="s">
        <v>277</v>
      </c>
      <c r="C103" s="25"/>
      <c r="D103" s="21">
        <f>+D23-D25+D98</f>
        <v>-91915.95</v>
      </c>
      <c r="E103" s="13"/>
      <c r="F103" s="20">
        <f>IF(D$12=0,0,D103/D$12)</f>
        <v>-0.70614733254766626</v>
      </c>
      <c r="G103" s="13"/>
      <c r="H103" s="21">
        <f>+H23-H25+H98</f>
        <v>-95133.148448061314</v>
      </c>
      <c r="I103" s="13"/>
      <c r="J103" s="20">
        <f>IF(H$12=0,0,H103/H$12)</f>
        <v>-0.79449101350465856</v>
      </c>
      <c r="K103" s="16"/>
      <c r="L103" s="21">
        <f>+D103-H103</f>
        <v>3217.1984480613173</v>
      </c>
      <c r="M103" s="16"/>
      <c r="N103" s="20">
        <f>IF(H103=0,0,L103/H103)</f>
        <v>-3.3817848988964894E-2</v>
      </c>
      <c r="O103" s="26"/>
      <c r="P103" s="21">
        <f>+P23-P25+P98</f>
        <v>-372099.24000000005</v>
      </c>
      <c r="Q103" s="13"/>
      <c r="R103" s="20">
        <f>IF(P$12=0,0,P103/P$12)</f>
        <v>-1.8407406352067077</v>
      </c>
      <c r="S103" s="13"/>
      <c r="T103" s="21">
        <f>+T23-T25+T98</f>
        <v>-395272.0396103356</v>
      </c>
      <c r="U103" s="13"/>
      <c r="V103" s="20">
        <f>IF(T$12=0,0,T103/T$12)</f>
        <v>-2.2809858596014521</v>
      </c>
      <c r="W103" s="16"/>
      <c r="X103" s="21">
        <f>+P103-T103</f>
        <v>23172.799610335554</v>
      </c>
      <c r="Y103" s="16"/>
      <c r="Z103" s="20">
        <f>IF(T103=0,0,X103/T103)</f>
        <v>-5.862494001138964E-2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52"/>
      <c r="B105" s="10" t="s">
        <v>128</v>
      </c>
      <c r="C105" s="10"/>
      <c r="D105" s="4">
        <v>14264.46</v>
      </c>
      <c r="E105" s="4"/>
      <c r="F105" s="12">
        <f>IF(D$12=0,0,D105/D$12)</f>
        <v>0.10958718676391729</v>
      </c>
      <c r="G105" s="4"/>
      <c r="H105" s="4">
        <v>12819</v>
      </c>
      <c r="I105" s="4"/>
      <c r="J105" s="12">
        <f>IF(H$12=0,0,H105/H$12)</f>
        <v>0.10705606266859305</v>
      </c>
      <c r="K105" s="4"/>
      <c r="L105" s="4">
        <f>+D105-H105</f>
        <v>1445.4599999999991</v>
      </c>
      <c r="M105" s="4"/>
      <c r="N105" s="12">
        <f>IF(H105=0,0,L105/H105)</f>
        <v>0.11275918558389883</v>
      </c>
      <c r="O105" s="10"/>
      <c r="P105" s="4">
        <v>25020.81</v>
      </c>
      <c r="Q105" s="4"/>
      <c r="R105" s="12">
        <f>IF(P$12=0,0,P105/P$12)</f>
        <v>0.12377564031785268</v>
      </c>
      <c r="S105" s="4"/>
      <c r="T105" s="4">
        <v>18816</v>
      </c>
      <c r="U105" s="4"/>
      <c r="V105" s="12">
        <f>IF(T$12=0,0,T105/T$12)</f>
        <v>0.10858099140169658</v>
      </c>
      <c r="W105" s="4"/>
      <c r="X105" s="4">
        <f>+P105-T105</f>
        <v>6204.8100000000013</v>
      </c>
      <c r="Y105" s="4"/>
      <c r="Z105" s="12">
        <f>IF(T105=0,0,X105/T105)</f>
        <v>0.32976243622448986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5" t="s">
        <v>126</v>
      </c>
      <c r="C107" s="25"/>
      <c r="D107" s="33">
        <f>+D103-D105</f>
        <v>-106180.41</v>
      </c>
      <c r="E107" s="13"/>
      <c r="F107" s="31">
        <f>IF(D$12=0,0,D107/D$12)</f>
        <v>-0.81573451931158358</v>
      </c>
      <c r="G107" s="13"/>
      <c r="H107" s="33">
        <f>+H103-H105</f>
        <v>-107952.14844806131</v>
      </c>
      <c r="I107" s="13"/>
      <c r="J107" s="31">
        <f>IF(H$12=0,0,H107/H$12)</f>
        <v>-0.90154707617325158</v>
      </c>
      <c r="K107" s="16"/>
      <c r="L107" s="33">
        <f>D107-H107</f>
        <v>1771.7384480613109</v>
      </c>
      <c r="M107" s="16"/>
      <c r="N107" s="31">
        <f>IF(H107=0,0,L107/H107)</f>
        <v>-1.6412257407861983E-2</v>
      </c>
      <c r="O107" s="26"/>
      <c r="P107" s="33">
        <f>+P103-P105</f>
        <v>-397120.05000000005</v>
      </c>
      <c r="Q107" s="13"/>
      <c r="R107" s="31">
        <f>IF(P$12=0,0,P107/P$12)</f>
        <v>-1.9645162755245604</v>
      </c>
      <c r="S107" s="13"/>
      <c r="T107" s="33">
        <f>+T103-T105</f>
        <v>-414088.0396103356</v>
      </c>
      <c r="U107" s="13"/>
      <c r="V107" s="31">
        <f>IF(T$12=0,0,T107/T$12)</f>
        <v>-2.3895668510031487</v>
      </c>
      <c r="W107" s="16"/>
      <c r="X107" s="33">
        <f>P107-T107</f>
        <v>16967.989610335557</v>
      </c>
      <c r="Y107" s="16"/>
      <c r="Z107" s="31">
        <f>IF(T107=0,0,X107/T107)</f>
        <v>-4.0976768192345629E-2</v>
      </c>
    </row>
    <row r="108" spans="1:26" ht="15.75" thickTop="1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5" t="s">
        <v>294</v>
      </c>
      <c r="C110" s="25"/>
      <c r="D110" s="35">
        <f>SUM(D107:D109)</f>
        <v>-106180.41</v>
      </c>
      <c r="E110" s="13"/>
      <c r="F110" s="34">
        <f>IF(D$12=0,0,D110/D$12)</f>
        <v>-0.81573451931158358</v>
      </c>
      <c r="G110" s="13"/>
      <c r="H110" s="35">
        <f>SUM(H107:H109)</f>
        <v>-107952.14844806131</v>
      </c>
      <c r="I110" s="13"/>
      <c r="J110" s="34">
        <f>IF(H$12=0,0,H110/H$12)</f>
        <v>-0.90154707617325158</v>
      </c>
      <c r="K110" s="16"/>
      <c r="L110" s="35">
        <f>+D110-H110</f>
        <v>1771.7384480613109</v>
      </c>
      <c r="M110" s="16"/>
      <c r="N110" s="34">
        <f>IF(H110=0,0,L110/H110)</f>
        <v>-1.6412257407861983E-2</v>
      </c>
      <c r="O110" s="26"/>
      <c r="P110" s="35">
        <f>SUM(P107:P109)</f>
        <v>-397120.05000000005</v>
      </c>
      <c r="Q110" s="13"/>
      <c r="R110" s="34">
        <f>IF(P$12=0,0,P110/P$12)</f>
        <v>-1.9645162755245604</v>
      </c>
      <c r="S110" s="13"/>
      <c r="T110" s="35">
        <f>SUM(T107:T109)</f>
        <v>-414088.0396103356</v>
      </c>
      <c r="U110" s="13"/>
      <c r="V110" s="34">
        <f>IF(T$12=0,0,T110/T$12)</f>
        <v>-2.3895668510031487</v>
      </c>
      <c r="W110" s="16"/>
      <c r="X110" s="35">
        <f>+P110-T110</f>
        <v>16967.989610335557</v>
      </c>
      <c r="Y110" s="16"/>
      <c r="Z110" s="34">
        <f>IF(T110=0,0,X110/T110)</f>
        <v>-4.0976768192345629E-2</v>
      </c>
    </row>
    <row r="111" spans="1:26" ht="15.75" thickTop="1" x14ac:dyDescent="0.25">
      <c r="A111" s="9"/>
      <c r="C111" s="9"/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61">
        <v>44481.978945833333</v>
      </c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1:24" x14ac:dyDescent="0.25">
      <c r="A113" s="9"/>
      <c r="B113" s="56" t="s">
        <v>56</v>
      </c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A114" s="9"/>
      <c r="B114" s="54"/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  <row r="115" spans="1:24" x14ac:dyDescent="0.25"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92D050"/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","405", " - ", "Caffeine Lab")</f>
        <v>Department 405 - Caffeine Lab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65851.209999999992</v>
      </c>
      <c r="E12" s="4"/>
      <c r="F12" s="12"/>
      <c r="G12" s="4"/>
      <c r="H12" s="4">
        <f>SUM(OSRRefH13x_0)</f>
        <v>31318</v>
      </c>
      <c r="I12" s="4"/>
      <c r="J12" s="12"/>
      <c r="K12" s="4"/>
      <c r="L12" s="4">
        <f t="shared" ref="L12:L16" si="0">+D12-H12</f>
        <v>34533.209999999992</v>
      </c>
      <c r="M12" s="4"/>
      <c r="N12" s="12">
        <f t="shared" ref="N12:N16" si="1">IF(H12=0,0,L12/H12)</f>
        <v>1.1026633246056579</v>
      </c>
      <c r="O12" s="10"/>
      <c r="P12" s="4">
        <f>SUM(OSRRefP13x_0)</f>
        <v>81213.960000000006</v>
      </c>
      <c r="Q12" s="4"/>
      <c r="R12" s="12"/>
      <c r="S12" s="4"/>
      <c r="T12" s="4">
        <f>SUM(OSRRefT13x_0)</f>
        <v>39356</v>
      </c>
      <c r="U12" s="4"/>
      <c r="V12" s="12"/>
      <c r="W12" s="4"/>
      <c r="X12" s="4">
        <f t="shared" ref="X12:X16" si="2">+P12-T12</f>
        <v>41857.960000000006</v>
      </c>
      <c r="Y12" s="4"/>
      <c r="Z12" s="12">
        <f t="shared" ref="Z12:Z16" si="3">IF(T12=0,0,X12/T12)</f>
        <v>1.0635725175322697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6558</v>
      </c>
      <c r="I13" s="2"/>
      <c r="J13" s="19"/>
      <c r="K13" s="2"/>
      <c r="L13" s="2">
        <f t="shared" si="0"/>
        <v>-6558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8241</v>
      </c>
      <c r="U13" s="2"/>
      <c r="V13" s="19"/>
      <c r="W13" s="2"/>
      <c r="X13" s="2">
        <f t="shared" si="2"/>
        <v>-8241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--9000.69</f>
        <v>9000.69</v>
      </c>
      <c r="E14" s="2"/>
      <c r="F14" s="19"/>
      <c r="G14" s="2"/>
      <c r="H14" s="2"/>
      <c r="I14" s="2"/>
      <c r="J14" s="19"/>
      <c r="K14" s="2"/>
      <c r="L14" s="2">
        <f t="shared" si="0"/>
        <v>9000.69</v>
      </c>
      <c r="M14" s="2"/>
      <c r="N14" s="19">
        <f t="shared" si="1"/>
        <v>0</v>
      </c>
      <c r="O14" s="11"/>
      <c r="P14" s="2">
        <f>--11270.35</f>
        <v>11270.35</v>
      </c>
      <c r="Q14" s="2"/>
      <c r="R14" s="19"/>
      <c r="S14" s="2"/>
      <c r="T14" s="2"/>
      <c r="U14" s="2"/>
      <c r="V14" s="19"/>
      <c r="W14" s="2"/>
      <c r="X14" s="2">
        <f t="shared" si="2"/>
        <v>11270.35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24760</v>
      </c>
      <c r="I15" s="2"/>
      <c r="J15" s="19"/>
      <c r="K15" s="2"/>
      <c r="L15" s="2">
        <f t="shared" si="0"/>
        <v>-24760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31115</v>
      </c>
      <c r="U15" s="2"/>
      <c r="V15" s="19"/>
      <c r="W15" s="2"/>
      <c r="X15" s="2">
        <f t="shared" si="2"/>
        <v>-31115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--56850.52</f>
        <v>56850.52</v>
      </c>
      <c r="E16" s="2"/>
      <c r="F16" s="19"/>
      <c r="G16" s="2"/>
      <c r="H16" s="2"/>
      <c r="I16" s="2"/>
      <c r="J16" s="19"/>
      <c r="K16" s="2"/>
      <c r="L16" s="2">
        <f t="shared" si="0"/>
        <v>56850.52</v>
      </c>
      <c r="M16" s="2"/>
      <c r="N16" s="19">
        <f t="shared" si="1"/>
        <v>0</v>
      </c>
      <c r="O16" s="11"/>
      <c r="P16" s="2">
        <f>--69943.61</f>
        <v>69943.61</v>
      </c>
      <c r="Q16" s="2"/>
      <c r="R16" s="19"/>
      <c r="S16" s="2"/>
      <c r="T16" s="2"/>
      <c r="U16" s="2"/>
      <c r="V16" s="19"/>
      <c r="W16" s="2"/>
      <c r="X16" s="2">
        <f t="shared" si="2"/>
        <v>69943.61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257</v>
      </c>
      <c r="C18" s="10"/>
      <c r="D18" s="4">
        <f>SUM(OSRRefD16x_0)</f>
        <v>25022.690000000002</v>
      </c>
      <c r="E18" s="4"/>
      <c r="F18" s="12">
        <f t="shared" ref="F18:F21" si="4">IF(D$12=0,0,D18/D$12)</f>
        <v>0.37998831000979338</v>
      </c>
      <c r="G18" s="4"/>
      <c r="H18" s="4">
        <f>SUM(OSRRefH16x_0)</f>
        <v>11901</v>
      </c>
      <c r="I18" s="4"/>
      <c r="J18" s="12">
        <f t="shared" ref="J18:J21" si="5">IF(H$12=0,0,H18/H$12)</f>
        <v>0.38000510888307043</v>
      </c>
      <c r="K18" s="4"/>
      <c r="L18" s="4">
        <f t="shared" ref="L18:L21" si="6">+D18-H18</f>
        <v>13121.690000000002</v>
      </c>
      <c r="M18" s="4"/>
      <c r="N18" s="12">
        <f t="shared" ref="N18:N21" si="7">IF(H18=0,0,L18/H18)</f>
        <v>1.1025703722376272</v>
      </c>
      <c r="O18" s="10"/>
      <c r="P18" s="4">
        <f>SUM(OSRRefP16x_0)</f>
        <v>30860.959999999999</v>
      </c>
      <c r="Q18" s="4"/>
      <c r="R18" s="12">
        <f t="shared" ref="R18:R21" si="8">IF(P$12=0,0,P18/P$12)</f>
        <v>0.37999575442448558</v>
      </c>
      <c r="S18" s="4"/>
      <c r="T18" s="4">
        <f>SUM(OSRRefT16x_0)</f>
        <v>14955</v>
      </c>
      <c r="U18" s="4"/>
      <c r="V18" s="12">
        <f t="shared" ref="V18:V21" si="9">IF(T$12=0,0,T18/T$12)</f>
        <v>0.37999288545583904</v>
      </c>
      <c r="W18" s="4"/>
      <c r="X18" s="4">
        <f t="shared" ref="X18:X21" si="10">+P18-T18</f>
        <v>15905.96</v>
      </c>
      <c r="Y18" s="4"/>
      <c r="Z18" s="12">
        <f t="shared" ref="Z18:Z21" si="11">IF(T18=0,0,X18/T18)</f>
        <v>1.063588097626212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11901</v>
      </c>
      <c r="I19" s="2"/>
      <c r="J19" s="19">
        <f t="shared" si="5"/>
        <v>0.38000510888307043</v>
      </c>
      <c r="K19" s="2"/>
      <c r="L19" s="2">
        <f t="shared" si="6"/>
        <v>-11901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14955</v>
      </c>
      <c r="U19" s="2"/>
      <c r="V19" s="19">
        <f t="shared" si="9"/>
        <v>0.37999288545583904</v>
      </c>
      <c r="W19" s="2"/>
      <c r="X19" s="2">
        <f t="shared" si="10"/>
        <v>-14955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17188.09</v>
      </c>
      <c r="E20" s="2"/>
      <c r="F20" s="19">
        <f t="shared" si="4"/>
        <v>0.2610140345181205</v>
      </c>
      <c r="G20" s="2"/>
      <c r="H20" s="2"/>
      <c r="I20" s="2"/>
      <c r="J20" s="19">
        <f t="shared" si="5"/>
        <v>0</v>
      </c>
      <c r="K20" s="2"/>
      <c r="L20" s="2">
        <f t="shared" si="6"/>
        <v>17188.09</v>
      </c>
      <c r="M20" s="2"/>
      <c r="N20" s="19">
        <f t="shared" si="7"/>
        <v>0</v>
      </c>
      <c r="O20" s="11"/>
      <c r="P20" s="2">
        <v>36749.360000000001</v>
      </c>
      <c r="Q20" s="2"/>
      <c r="R20" s="19">
        <f t="shared" si="8"/>
        <v>0.45250053069693924</v>
      </c>
      <c r="S20" s="2"/>
      <c r="T20" s="2"/>
      <c r="U20" s="2"/>
      <c r="V20" s="19">
        <f t="shared" si="9"/>
        <v>0</v>
      </c>
      <c r="W20" s="2"/>
      <c r="X20" s="2">
        <f t="shared" si="10"/>
        <v>36749.360000000001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7834.6</v>
      </c>
      <c r="E21" s="2"/>
      <c r="F21" s="19">
        <f t="shared" si="4"/>
        <v>0.11897427549167283</v>
      </c>
      <c r="G21" s="2"/>
      <c r="H21" s="2"/>
      <c r="I21" s="2"/>
      <c r="J21" s="19">
        <f t="shared" si="5"/>
        <v>0</v>
      </c>
      <c r="K21" s="2"/>
      <c r="L21" s="2">
        <f t="shared" si="6"/>
        <v>7834.6</v>
      </c>
      <c r="M21" s="2"/>
      <c r="N21" s="19">
        <f t="shared" si="7"/>
        <v>0</v>
      </c>
      <c r="O21" s="11"/>
      <c r="P21" s="2">
        <v>-5888.4</v>
      </c>
      <c r="Q21" s="2"/>
      <c r="R21" s="19">
        <f t="shared" si="8"/>
        <v>-7.2504776272453636E-2</v>
      </c>
      <c r="S21" s="2"/>
      <c r="T21" s="2"/>
      <c r="U21" s="2"/>
      <c r="V21" s="19">
        <f t="shared" si="9"/>
        <v>0</v>
      </c>
      <c r="W21" s="2"/>
      <c r="X21" s="2">
        <f t="shared" si="10"/>
        <v>-5888.4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108</v>
      </c>
      <c r="C23" s="25"/>
      <c r="D23" s="21">
        <f>D12-D18</f>
        <v>40828.51999999999</v>
      </c>
      <c r="E23" s="13"/>
      <c r="F23" s="20">
        <f>IF(D$12=0,0,D23/D$12)</f>
        <v>0.62001168999020662</v>
      </c>
      <c r="G23" s="13"/>
      <c r="H23" s="21">
        <f>H12-H18</f>
        <v>19417</v>
      </c>
      <c r="I23" s="13"/>
      <c r="J23" s="20">
        <f>IF(H$12=0,0,H23/H$12)</f>
        <v>0.61999489111692951</v>
      </c>
      <c r="K23" s="16"/>
      <c r="L23" s="21">
        <f>+D23-H23</f>
        <v>21411.51999999999</v>
      </c>
      <c r="M23" s="16"/>
      <c r="N23" s="20">
        <f>IF(H23=0,0,L23/H23)</f>
        <v>1.1027202966472673</v>
      </c>
      <c r="O23" s="26"/>
      <c r="P23" s="21">
        <f>P12-P18</f>
        <v>50353.000000000007</v>
      </c>
      <c r="Q23" s="13"/>
      <c r="R23" s="20">
        <f>IF(P$12=0,0,P23/P$12)</f>
        <v>0.62000424557551437</v>
      </c>
      <c r="S23" s="13"/>
      <c r="T23" s="21">
        <f>T12-T18</f>
        <v>24401</v>
      </c>
      <c r="U23" s="13"/>
      <c r="V23" s="20">
        <f>IF(T$12=0,0,T23/T$12)</f>
        <v>0.62000711454416102</v>
      </c>
      <c r="W23" s="16"/>
      <c r="X23" s="21">
        <f>+P23-T23</f>
        <v>25952.000000000007</v>
      </c>
      <c r="Y23" s="16"/>
      <c r="Z23" s="20">
        <f>IF(T23=0,0,X23/T23)</f>
        <v>1.0635629687307899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295</v>
      </c>
      <c r="C25" s="10"/>
      <c r="D25" s="22">
        <f>SUM(OSRRefD22x_0)</f>
        <v>36986.620000000003</v>
      </c>
      <c r="E25" s="22"/>
      <c r="F25" s="32">
        <f t="shared" ref="F25:F35" si="12">IF(D$12=0,0,D25/D$12)</f>
        <v>0.56166955778033556</v>
      </c>
      <c r="G25" s="22"/>
      <c r="H25" s="22">
        <f>SUM(OSRRefH22x_0)</f>
        <v>34458.074307692303</v>
      </c>
      <c r="I25" s="22"/>
      <c r="J25" s="32">
        <f t="shared" ref="J25:J35" si="13">IF(H$12=0,0,H25/H$12)</f>
        <v>1.1002642029405549</v>
      </c>
      <c r="K25" s="4"/>
      <c r="L25" s="22">
        <f t="shared" ref="L25:L35" si="14">+D25-H25</f>
        <v>2528.5456923076999</v>
      </c>
      <c r="M25" s="4"/>
      <c r="N25" s="32">
        <f t="shared" ref="N25:N35" si="15">IF(H25=0,0,L25/H25)</f>
        <v>7.3380354042107229E-2</v>
      </c>
      <c r="O25" s="10"/>
      <c r="P25" s="22">
        <f>SUM(OSRRefP22x_0)</f>
        <v>79472.049999999974</v>
      </c>
      <c r="Q25" s="22"/>
      <c r="R25" s="32">
        <f t="shared" ref="R25:R35" si="16">IF(P$12=0,0,P25/P$12)</f>
        <v>0.97855159383928536</v>
      </c>
      <c r="S25" s="22"/>
      <c r="T25" s="22">
        <f>SUM(OSRRefT22x_0)</f>
        <v>82848.016369999998</v>
      </c>
      <c r="U25" s="22"/>
      <c r="V25" s="32">
        <f t="shared" ref="V25:V35" si="17">IF(T$12=0,0,T25/T$12)</f>
        <v>2.1050923968391095</v>
      </c>
      <c r="W25" s="4"/>
      <c r="X25" s="22">
        <f t="shared" ref="X25:X35" si="18">+P25-T25</f>
        <v>-3375.9663700000237</v>
      </c>
      <c r="Y25" s="4"/>
      <c r="Z25" s="32">
        <f t="shared" ref="Z25:Z35" si="19">IF(T25=0,0,X25/T25)</f>
        <v>-4.0748910087634774E-2</v>
      </c>
    </row>
    <row r="26" spans="1:26" s="28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3444.52</v>
      </c>
      <c r="E26" s="1"/>
      <c r="F26" s="5">
        <f t="shared" si="12"/>
        <v>5.2307618948839368E-2</v>
      </c>
      <c r="G26" s="1"/>
      <c r="H26" s="1">
        <f>SUM(OSRRefH22_0x_0)</f>
        <v>4143.4523846153843</v>
      </c>
      <c r="I26" s="1"/>
      <c r="J26" s="5">
        <f t="shared" si="13"/>
        <v>0.13230258588081564</v>
      </c>
      <c r="K26" s="1"/>
      <c r="L26" s="1">
        <f t="shared" si="14"/>
        <v>-698.93238461538431</v>
      </c>
      <c r="M26" s="1"/>
      <c r="N26" s="5">
        <f t="shared" si="15"/>
        <v>-0.16868358068033226</v>
      </c>
      <c r="O26" s="14"/>
      <c r="P26" s="1">
        <f>SUM(OSRRefP22_0x_0)</f>
        <v>7695.9</v>
      </c>
      <c r="Q26" s="1"/>
      <c r="R26" s="5">
        <f t="shared" si="16"/>
        <v>9.4760802206911215E-2</v>
      </c>
      <c r="S26" s="1"/>
      <c r="T26" s="1">
        <f>SUM(OSRRefT22_0x_0)</f>
        <v>11791.201369999997</v>
      </c>
      <c r="U26" s="1"/>
      <c r="V26" s="5">
        <f t="shared" si="17"/>
        <v>0.29960365306433573</v>
      </c>
      <c r="W26" s="1"/>
      <c r="X26" s="1">
        <f t="shared" si="18"/>
        <v>-4095.3013699999974</v>
      </c>
      <c r="Y26" s="1"/>
      <c r="Z26" s="5">
        <f t="shared" si="19"/>
        <v>-0.34731841493433829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7">
        <v>732.92</v>
      </c>
      <c r="E27" s="2"/>
      <c r="F27" s="6">
        <f t="shared" si="12"/>
        <v>1.1129939753574764E-2</v>
      </c>
      <c r="G27" s="2"/>
      <c r="H27" s="7">
        <v>342.61892307692301</v>
      </c>
      <c r="I27" s="2"/>
      <c r="J27" s="6">
        <f t="shared" si="13"/>
        <v>1.0940000098247749E-2</v>
      </c>
      <c r="K27" s="2"/>
      <c r="L27" s="7">
        <f t="shared" si="14"/>
        <v>390.30107692307695</v>
      </c>
      <c r="M27" s="2"/>
      <c r="N27" s="6">
        <f t="shared" si="15"/>
        <v>1.139169644857732</v>
      </c>
      <c r="O27" s="11"/>
      <c r="P27" s="7">
        <v>1843.78</v>
      </c>
      <c r="Q27" s="2"/>
      <c r="R27" s="6">
        <f t="shared" si="16"/>
        <v>2.2702747163172436E-2</v>
      </c>
      <c r="S27" s="2"/>
      <c r="T27" s="7">
        <v>1448.6363699999999</v>
      </c>
      <c r="U27" s="2"/>
      <c r="V27" s="6">
        <f t="shared" si="17"/>
        <v>3.6808526527086084E-2</v>
      </c>
      <c r="W27" s="2"/>
      <c r="X27" s="7">
        <f t="shared" si="18"/>
        <v>395.14363000000003</v>
      </c>
      <c r="Y27" s="2"/>
      <c r="Z27" s="6">
        <f t="shared" si="19"/>
        <v>0.27276936999724788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>
        <v>708.55</v>
      </c>
      <c r="E28" s="2"/>
      <c r="F28" s="6">
        <f t="shared" si="12"/>
        <v>1.0759863030610979E-2</v>
      </c>
      <c r="G28" s="2"/>
      <c r="H28" s="7">
        <v>730.53853461538495</v>
      </c>
      <c r="I28" s="2"/>
      <c r="J28" s="6">
        <f t="shared" si="13"/>
        <v>2.3326474698747844E-2</v>
      </c>
      <c r="K28" s="2"/>
      <c r="L28" s="7">
        <f t="shared" si="14"/>
        <v>-21.988534615384992</v>
      </c>
      <c r="M28" s="2"/>
      <c r="N28" s="6">
        <f t="shared" si="15"/>
        <v>-3.0099075645559956E-2</v>
      </c>
      <c r="O28" s="11"/>
      <c r="P28" s="7">
        <v>1219.3399999999999</v>
      </c>
      <c r="Q28" s="2"/>
      <c r="R28" s="6">
        <f t="shared" si="16"/>
        <v>1.5013921251962098E-2</v>
      </c>
      <c r="S28" s="2"/>
      <c r="T28" s="7">
        <v>1553.5020500000001</v>
      </c>
      <c r="U28" s="2"/>
      <c r="V28" s="6">
        <f t="shared" si="17"/>
        <v>3.9473067638987704E-2</v>
      </c>
      <c r="W28" s="2"/>
      <c r="X28" s="7">
        <f t="shared" si="18"/>
        <v>-334.16205000000014</v>
      </c>
      <c r="Y28" s="2"/>
      <c r="Z28" s="6">
        <f t="shared" si="19"/>
        <v>-0.21510241972323121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7">
        <v>685.2</v>
      </c>
      <c r="E29" s="2"/>
      <c r="F29" s="6">
        <f t="shared" si="12"/>
        <v>1.0405275772457334E-2</v>
      </c>
      <c r="G29" s="2"/>
      <c r="H29" s="7">
        <v>1977</v>
      </c>
      <c r="I29" s="2"/>
      <c r="J29" s="6">
        <f t="shared" si="13"/>
        <v>6.3126636439108499E-2</v>
      </c>
      <c r="K29" s="2"/>
      <c r="L29" s="7">
        <f t="shared" si="14"/>
        <v>-1291.8</v>
      </c>
      <c r="M29" s="2"/>
      <c r="N29" s="6">
        <f t="shared" si="15"/>
        <v>-0.65341426403641878</v>
      </c>
      <c r="O29" s="11"/>
      <c r="P29" s="7">
        <v>1409.6</v>
      </c>
      <c r="Q29" s="2"/>
      <c r="R29" s="6">
        <f t="shared" si="16"/>
        <v>1.7356621940365916E-2</v>
      </c>
      <c r="S29" s="2"/>
      <c r="T29" s="7">
        <v>5931</v>
      </c>
      <c r="U29" s="2"/>
      <c r="V29" s="6">
        <f t="shared" si="17"/>
        <v>0.15070129078158351</v>
      </c>
      <c r="W29" s="2"/>
      <c r="X29" s="7">
        <f t="shared" si="18"/>
        <v>-4521.3999999999996</v>
      </c>
      <c r="Y29" s="2"/>
      <c r="Z29" s="6">
        <f t="shared" si="19"/>
        <v>-0.76233350193896465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>
        <v>51.17</v>
      </c>
      <c r="E30" s="2"/>
      <c r="F30" s="6">
        <f t="shared" si="12"/>
        <v>7.7705481797525069E-4</v>
      </c>
      <c r="G30" s="2"/>
      <c r="H30" s="7">
        <v>40.478388461538501</v>
      </c>
      <c r="I30" s="2"/>
      <c r="J30" s="6">
        <f t="shared" si="13"/>
        <v>1.2924959595612268E-3</v>
      </c>
      <c r="K30" s="2"/>
      <c r="L30" s="7">
        <f t="shared" si="14"/>
        <v>10.691611538461501</v>
      </c>
      <c r="M30" s="2"/>
      <c r="N30" s="6">
        <f t="shared" si="15"/>
        <v>0.26413135366345891</v>
      </c>
      <c r="O30" s="11"/>
      <c r="P30" s="7">
        <v>88.06</v>
      </c>
      <c r="Q30" s="2"/>
      <c r="R30" s="6">
        <f t="shared" si="16"/>
        <v>1.0842963451111113E-3</v>
      </c>
      <c r="S30" s="2"/>
      <c r="T30" s="7">
        <v>86.077950000000101</v>
      </c>
      <c r="U30" s="2"/>
      <c r="V30" s="6">
        <f t="shared" si="17"/>
        <v>2.1871620591523556E-3</v>
      </c>
      <c r="W30" s="2"/>
      <c r="X30" s="7">
        <f t="shared" si="18"/>
        <v>1.9820499999999015</v>
      </c>
      <c r="Y30" s="2"/>
      <c r="Z30" s="6">
        <f t="shared" si="19"/>
        <v>2.3026222162585184E-2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7">
        <v>408.69</v>
      </c>
      <c r="E31" s="2"/>
      <c r="F31" s="6">
        <f t="shared" si="12"/>
        <v>6.206264091426719E-3</v>
      </c>
      <c r="G31" s="2"/>
      <c r="H31" s="7">
        <v>385.01538461538502</v>
      </c>
      <c r="I31" s="2"/>
      <c r="J31" s="6">
        <f t="shared" si="13"/>
        <v>1.2293741126999968E-2</v>
      </c>
      <c r="K31" s="2"/>
      <c r="L31" s="7">
        <f t="shared" si="14"/>
        <v>23.674615384614981</v>
      </c>
      <c r="M31" s="2"/>
      <c r="N31" s="6">
        <f t="shared" si="15"/>
        <v>6.149005034763734E-2</v>
      </c>
      <c r="O31" s="11"/>
      <c r="P31" s="7">
        <v>1062.5899999999999</v>
      </c>
      <c r="Q31" s="2"/>
      <c r="R31" s="6">
        <f t="shared" si="16"/>
        <v>1.308383435557138E-2</v>
      </c>
      <c r="S31" s="2"/>
      <c r="T31" s="7">
        <v>1251.3</v>
      </c>
      <c r="U31" s="2"/>
      <c r="V31" s="6">
        <f t="shared" si="17"/>
        <v>3.1794389673747328E-2</v>
      </c>
      <c r="W31" s="2"/>
      <c r="X31" s="7">
        <f t="shared" si="18"/>
        <v>-188.71000000000004</v>
      </c>
      <c r="Y31" s="2"/>
      <c r="Z31" s="6">
        <f t="shared" si="19"/>
        <v>-0.1508111563973468</v>
      </c>
    </row>
    <row r="32" spans="1:26" s="24" customFormat="1" hidden="1" outlineLevel="2" x14ac:dyDescent="0.25">
      <c r="A32" s="29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9"/>
      <c r="B33" s="11" t="str">
        <f>CONCATENATE("          ", "6118", " - ", "VACATION")</f>
        <v xml:space="preserve">          6118 - VACATION</v>
      </c>
      <c r="C33" s="11"/>
      <c r="D33" s="7">
        <v>268.89999999999998</v>
      </c>
      <c r="E33" s="2"/>
      <c r="F33" s="6">
        <f t="shared" si="12"/>
        <v>4.083448124947135E-3</v>
      </c>
      <c r="G33" s="2"/>
      <c r="H33" s="7">
        <v>134.30769230769201</v>
      </c>
      <c r="I33" s="2"/>
      <c r="J33" s="6">
        <f t="shared" si="13"/>
        <v>4.288514346627882E-3</v>
      </c>
      <c r="K33" s="2"/>
      <c r="L33" s="7">
        <f t="shared" si="14"/>
        <v>134.59230769230797</v>
      </c>
      <c r="M33" s="2"/>
      <c r="N33" s="6">
        <f t="shared" si="15"/>
        <v>1.0021191294387213</v>
      </c>
      <c r="O33" s="11"/>
      <c r="P33" s="7">
        <v>683.5</v>
      </c>
      <c r="Q33" s="2"/>
      <c r="R33" s="6">
        <f t="shared" si="16"/>
        <v>8.4160407890466107E-3</v>
      </c>
      <c r="S33" s="2"/>
      <c r="T33" s="7">
        <v>436.49999999999898</v>
      </c>
      <c r="U33" s="2"/>
      <c r="V33" s="6">
        <f t="shared" si="17"/>
        <v>1.1091066165260672E-2</v>
      </c>
      <c r="W33" s="2"/>
      <c r="X33" s="7">
        <f t="shared" si="18"/>
        <v>247.00000000000102</v>
      </c>
      <c r="Y33" s="2"/>
      <c r="Z33" s="6">
        <f t="shared" si="19"/>
        <v>0.56586483390607467</v>
      </c>
    </row>
    <row r="34" spans="1:26" s="24" customFormat="1" hidden="1" outlineLevel="2" x14ac:dyDescent="0.25">
      <c r="A34" s="29"/>
      <c r="B34" s="11" t="str">
        <f>CONCATENATE("          ", "6119", " - ", "SICK LEAVE")</f>
        <v xml:space="preserve">          6119 - SICK LEAVE</v>
      </c>
      <c r="C34" s="11"/>
      <c r="D34" s="7">
        <v>322.16000000000003</v>
      </c>
      <c r="E34" s="2"/>
      <c r="F34" s="6">
        <f t="shared" si="12"/>
        <v>4.8922411600333549E-3</v>
      </c>
      <c r="G34" s="2"/>
      <c r="H34" s="7">
        <v>533.49346153846102</v>
      </c>
      <c r="I34" s="2"/>
      <c r="J34" s="6">
        <f t="shared" si="13"/>
        <v>1.7034723211522478E-2</v>
      </c>
      <c r="K34" s="2"/>
      <c r="L34" s="7">
        <f t="shared" si="14"/>
        <v>-211.33346153846099</v>
      </c>
      <c r="M34" s="2"/>
      <c r="N34" s="6">
        <f t="shared" si="15"/>
        <v>-0.39613130576901245</v>
      </c>
      <c r="O34" s="11"/>
      <c r="P34" s="7">
        <v>818.88</v>
      </c>
      <c r="Q34" s="2"/>
      <c r="R34" s="6">
        <f t="shared" si="16"/>
        <v>1.0082995583517907E-2</v>
      </c>
      <c r="S34" s="2"/>
      <c r="T34" s="7">
        <v>1084.1849999999999</v>
      </c>
      <c r="U34" s="2"/>
      <c r="V34" s="6">
        <f t="shared" si="17"/>
        <v>2.7548150218518141E-2</v>
      </c>
      <c r="W34" s="2"/>
      <c r="X34" s="7">
        <f t="shared" si="18"/>
        <v>-265.30499999999995</v>
      </c>
      <c r="Y34" s="2"/>
      <c r="Z34" s="6">
        <f t="shared" si="19"/>
        <v>-0.24470454765561225</v>
      </c>
    </row>
    <row r="35" spans="1:26" s="24" customFormat="1" hidden="1" outlineLevel="2" x14ac:dyDescent="0.25">
      <c r="A35" s="29"/>
      <c r="B35" s="11" t="str">
        <f>CONCATENATE("          ", "6156", " - ", "EMPLOYEE MEALS")</f>
        <v xml:space="preserve">          6156 - EMPLOYEE MEALS</v>
      </c>
      <c r="C35" s="11"/>
      <c r="D35" s="7">
        <v>266.93</v>
      </c>
      <c r="E35" s="2"/>
      <c r="F35" s="6">
        <f t="shared" si="12"/>
        <v>4.0535321978138299E-3</v>
      </c>
      <c r="G35" s="2"/>
      <c r="H35" s="7"/>
      <c r="I35" s="2"/>
      <c r="J35" s="6">
        <f t="shared" si="13"/>
        <v>0</v>
      </c>
      <c r="K35" s="2"/>
      <c r="L35" s="7">
        <f t="shared" si="14"/>
        <v>266.93</v>
      </c>
      <c r="M35" s="2"/>
      <c r="N35" s="6">
        <f t="shared" si="15"/>
        <v>0</v>
      </c>
      <c r="O35" s="11"/>
      <c r="P35" s="7">
        <v>570.15</v>
      </c>
      <c r="Q35" s="2"/>
      <c r="R35" s="6">
        <f t="shared" si="16"/>
        <v>7.0203447781637535E-3</v>
      </c>
      <c r="S35" s="2"/>
      <c r="T35" s="7"/>
      <c r="U35" s="2"/>
      <c r="V35" s="6">
        <f t="shared" si="17"/>
        <v>0</v>
      </c>
      <c r="W35" s="2"/>
      <c r="X35" s="7">
        <f t="shared" si="18"/>
        <v>570.15</v>
      </c>
      <c r="Y35" s="2"/>
      <c r="Z35" s="6">
        <f t="shared" si="19"/>
        <v>0</v>
      </c>
    </row>
    <row r="36" spans="1:26" s="28" customFormat="1" outlineLevel="1" collapsed="1" x14ac:dyDescent="0.25">
      <c r="A36" s="27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19543.830000000002</v>
      </c>
      <c r="E36" s="1"/>
      <c r="F36" s="5">
        <f t="shared" ref="F36:F46" si="20">IF(D$12=0,0,D36/D$12)</f>
        <v>0.29678771278462468</v>
      </c>
      <c r="G36" s="1"/>
      <c r="H36" s="1">
        <f>SUM(OSRRefH22_1x_0)</f>
        <v>18607.62192307692</v>
      </c>
      <c r="I36" s="1"/>
      <c r="J36" s="5">
        <f t="shared" ref="J36:J46" si="21">IF(H$12=0,0,H36/H$12)</f>
        <v>0.59415102889957594</v>
      </c>
      <c r="K36" s="1"/>
      <c r="L36" s="1">
        <f t="shared" ref="L36:L46" si="22">+D36-H36</f>
        <v>936.20807692308153</v>
      </c>
      <c r="M36" s="1"/>
      <c r="N36" s="5">
        <f t="shared" ref="N36:N46" si="23">IF(H36=0,0,L36/H36)</f>
        <v>5.0313150213032273E-2</v>
      </c>
      <c r="O36" s="14"/>
      <c r="P36" s="1">
        <f>SUM(OSRRefP22_1x_0)</f>
        <v>38818.080000000002</v>
      </c>
      <c r="Q36" s="1"/>
      <c r="R36" s="5">
        <f t="shared" ref="R36:R46" si="24">IF(P$12=0,0,P36/P$12)</f>
        <v>0.47797299873076005</v>
      </c>
      <c r="S36" s="1"/>
      <c r="T36" s="1">
        <f>SUM(OSRRefT22_1x_0)</f>
        <v>39468.815000000002</v>
      </c>
      <c r="U36" s="1"/>
      <c r="V36" s="5">
        <f t="shared" ref="V36:V46" si="25">IF(T$12=0,0,T36/T$12)</f>
        <v>1.0028665260697225</v>
      </c>
      <c r="W36" s="1"/>
      <c r="X36" s="1">
        <f t="shared" ref="X36:X46" si="26">+P36-T36</f>
        <v>-650.73500000000058</v>
      </c>
      <c r="Y36" s="1"/>
      <c r="Z36" s="5">
        <f t="shared" ref="Z36:Z46" si="27">IF(T36=0,0,X36/T36)</f>
        <v>-1.6487320432599775E-2</v>
      </c>
    </row>
    <row r="37" spans="1:26" s="24" customFormat="1" hidden="1" outlineLevel="2" x14ac:dyDescent="0.25">
      <c r="A37" s="29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9"/>
      <c r="B38" s="11" t="str">
        <f>CONCATENATE("          ", "6002", " - ", "STAFF SALARIES")</f>
        <v xml:space="preserve">          6002 - STAFF SALARIES</v>
      </c>
      <c r="C38" s="11"/>
      <c r="D38" s="7">
        <v>5115.3900000000003</v>
      </c>
      <c r="E38" s="2"/>
      <c r="F38" s="6">
        <f t="shared" si="20"/>
        <v>7.7681032740324757E-2</v>
      </c>
      <c r="G38" s="2"/>
      <c r="H38" s="7">
        <v>4253.0769230769201</v>
      </c>
      <c r="I38" s="2"/>
      <c r="J38" s="6">
        <f t="shared" si="21"/>
        <v>0.13580295430988315</v>
      </c>
      <c r="K38" s="2"/>
      <c r="L38" s="7">
        <f t="shared" si="22"/>
        <v>862.31307692308019</v>
      </c>
      <c r="M38" s="2"/>
      <c r="N38" s="6">
        <f t="shared" si="23"/>
        <v>0.20275040694519894</v>
      </c>
      <c r="O38" s="11"/>
      <c r="P38" s="7">
        <v>15076.77</v>
      </c>
      <c r="Q38" s="2"/>
      <c r="R38" s="6">
        <f t="shared" si="24"/>
        <v>0.18564259149535375</v>
      </c>
      <c r="S38" s="2"/>
      <c r="T38" s="7">
        <v>13822.5</v>
      </c>
      <c r="U38" s="2"/>
      <c r="V38" s="6">
        <f t="shared" si="25"/>
        <v>0.35121709523325539</v>
      </c>
      <c r="W38" s="2"/>
      <c r="X38" s="7">
        <f t="shared" si="26"/>
        <v>1254.2700000000004</v>
      </c>
      <c r="Y38" s="2"/>
      <c r="Z38" s="6">
        <f t="shared" si="27"/>
        <v>9.0741182854042354E-2</v>
      </c>
    </row>
    <row r="39" spans="1:26" s="24" customFormat="1" hidden="1" outlineLevel="2" x14ac:dyDescent="0.25">
      <c r="A39" s="29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9"/>
      <c r="B40" s="11" t="str">
        <f>CONCATENATE("          ", "6004", " - ", "STAFF HOURLY")</f>
        <v xml:space="preserve">          6004 - STAFF HOURLY</v>
      </c>
      <c r="C40" s="11"/>
      <c r="D40" s="7">
        <v>953</v>
      </c>
      <c r="E40" s="2"/>
      <c r="F40" s="6">
        <f t="shared" si="20"/>
        <v>1.4472019572609221E-2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953</v>
      </c>
      <c r="M40" s="2"/>
      <c r="N40" s="6">
        <f t="shared" si="23"/>
        <v>0</v>
      </c>
      <c r="O40" s="11"/>
      <c r="P40" s="7">
        <v>1282.8800000000001</v>
      </c>
      <c r="Q40" s="2"/>
      <c r="R40" s="6">
        <f t="shared" si="24"/>
        <v>1.5796299059915316E-2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1282.8800000000001</v>
      </c>
      <c r="Y40" s="2"/>
      <c r="Z40" s="6">
        <f t="shared" si="27"/>
        <v>0</v>
      </c>
    </row>
    <row r="41" spans="1:26" s="24" customFormat="1" hidden="1" outlineLevel="2" x14ac:dyDescent="0.25">
      <c r="A41" s="29"/>
      <c r="B41" s="11" t="str">
        <f>CONCATENATE("          ", "6005", " - ", "TEMPORARY WAGES-HOURLY")</f>
        <v xml:space="preserve">          6005 - TEMPORARY WAGES-HOURLY</v>
      </c>
      <c r="C41" s="11"/>
      <c r="D41" s="7">
        <v>3168.08</v>
      </c>
      <c r="E41" s="2"/>
      <c r="F41" s="6">
        <f t="shared" si="20"/>
        <v>4.8109670270295724E-2</v>
      </c>
      <c r="G41" s="2"/>
      <c r="H41" s="7">
        <v>7026.68</v>
      </c>
      <c r="I41" s="2"/>
      <c r="J41" s="6">
        <f t="shared" si="21"/>
        <v>0.2243655405836899</v>
      </c>
      <c r="K41" s="2"/>
      <c r="L41" s="7">
        <f t="shared" si="22"/>
        <v>-3858.6000000000004</v>
      </c>
      <c r="M41" s="2"/>
      <c r="N41" s="6">
        <f t="shared" si="23"/>
        <v>-0.54913558038789301</v>
      </c>
      <c r="O41" s="11"/>
      <c r="P41" s="7">
        <v>4632.8900000000003</v>
      </c>
      <c r="Q41" s="2"/>
      <c r="R41" s="6">
        <f t="shared" si="24"/>
        <v>5.704548823872152E-2</v>
      </c>
      <c r="S41" s="2"/>
      <c r="T41" s="7">
        <v>14070.82</v>
      </c>
      <c r="U41" s="2"/>
      <c r="V41" s="6">
        <f t="shared" si="25"/>
        <v>0.35752667954060369</v>
      </c>
      <c r="W41" s="2"/>
      <c r="X41" s="7">
        <f t="shared" si="26"/>
        <v>-9437.93</v>
      </c>
      <c r="Y41" s="2"/>
      <c r="Z41" s="6">
        <f t="shared" si="27"/>
        <v>-0.67074484642686072</v>
      </c>
    </row>
    <row r="42" spans="1:26" s="24" customFormat="1" hidden="1" outlineLevel="2" x14ac:dyDescent="0.25">
      <c r="A42" s="29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9"/>
      <c r="B43" s="11" t="str">
        <f>CONCATENATE("          ", "6007", " - ", "STUDENT HOURLY")</f>
        <v xml:space="preserve">          6007 - STUDENT HOURLY</v>
      </c>
      <c r="C43" s="11"/>
      <c r="D43" s="7">
        <v>10307.36</v>
      </c>
      <c r="E43" s="2"/>
      <c r="F43" s="6">
        <f t="shared" si="20"/>
        <v>0.15652499020139496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10307.36</v>
      </c>
      <c r="M43" s="2"/>
      <c r="N43" s="6">
        <f t="shared" si="23"/>
        <v>0</v>
      </c>
      <c r="O43" s="11"/>
      <c r="P43" s="7">
        <v>17825.54</v>
      </c>
      <c r="Q43" s="2"/>
      <c r="R43" s="6">
        <f t="shared" si="24"/>
        <v>0.21948861993676949</v>
      </c>
      <c r="S43" s="2"/>
      <c r="T43" s="7">
        <v>4247.63</v>
      </c>
      <c r="U43" s="2"/>
      <c r="V43" s="6">
        <f t="shared" si="25"/>
        <v>0.10792839719483688</v>
      </c>
      <c r="W43" s="2"/>
      <c r="X43" s="7">
        <f t="shared" si="26"/>
        <v>13577.91</v>
      </c>
      <c r="Y43" s="2"/>
      <c r="Z43" s="6">
        <f t="shared" si="27"/>
        <v>3.1965849191196032</v>
      </c>
    </row>
    <row r="44" spans="1:26" s="24" customFormat="1" hidden="1" outlineLevel="2" x14ac:dyDescent="0.25">
      <c r="A44" s="29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0"/>
        <v>0</v>
      </c>
      <c r="G44" s="2"/>
      <c r="H44" s="7">
        <v>7327.8649999999998</v>
      </c>
      <c r="I44" s="2"/>
      <c r="J44" s="6">
        <f t="shared" si="21"/>
        <v>0.23398253400600294</v>
      </c>
      <c r="K44" s="2"/>
      <c r="L44" s="7">
        <f t="shared" si="22"/>
        <v>-7327.8649999999998</v>
      </c>
      <c r="M44" s="2"/>
      <c r="N44" s="6">
        <f t="shared" si="23"/>
        <v>-1</v>
      </c>
      <c r="O44" s="11"/>
      <c r="P44" s="7"/>
      <c r="Q44" s="2"/>
      <c r="R44" s="6">
        <f t="shared" si="24"/>
        <v>0</v>
      </c>
      <c r="S44" s="2"/>
      <c r="T44" s="7">
        <v>7327.8649999999998</v>
      </c>
      <c r="U44" s="2"/>
      <c r="V44" s="6">
        <f t="shared" si="25"/>
        <v>0.18619435410102653</v>
      </c>
      <c r="W44" s="2"/>
      <c r="X44" s="7">
        <f t="shared" si="26"/>
        <v>-7327.8649999999998</v>
      </c>
      <c r="Y44" s="2"/>
      <c r="Z44" s="6">
        <f t="shared" si="27"/>
        <v>-1</v>
      </c>
    </row>
    <row r="45" spans="1:26" s="24" customFormat="1" hidden="1" outlineLevel="2" x14ac:dyDescent="0.25">
      <c r="A45" s="29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9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8" customFormat="1" outlineLevel="1" collapsed="1" x14ac:dyDescent="0.25">
      <c r="A47" s="27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134.65</v>
      </c>
      <c r="E47" s="1"/>
      <c r="F47" s="5">
        <f t="shared" ref="F47:F55" si="28">IF(D$12=0,0,D47/D$12)</f>
        <v>2.0447612124363398E-3</v>
      </c>
      <c r="G47" s="1"/>
      <c r="H47" s="1">
        <f>SUM(OSRRefH22_2x_0)</f>
        <v>0</v>
      </c>
      <c r="I47" s="1"/>
      <c r="J47" s="5">
        <f t="shared" ref="J47:J55" si="29">IF(H$12=0,0,H47/H$12)</f>
        <v>0</v>
      </c>
      <c r="K47" s="1"/>
      <c r="L47" s="1">
        <f t="shared" ref="L47:L55" si="30">+D47-H47</f>
        <v>134.65</v>
      </c>
      <c r="M47" s="1"/>
      <c r="N47" s="5">
        <f t="shared" ref="N47:N55" si="31">IF(H47=0,0,L47/H47)</f>
        <v>0</v>
      </c>
      <c r="O47" s="14"/>
      <c r="P47" s="1">
        <f>SUM(OSRRefP22_2x_0)</f>
        <v>209.79</v>
      </c>
      <c r="Q47" s="1"/>
      <c r="R47" s="5">
        <f t="shared" ref="R47:R55" si="32">IF(P$12=0,0,P47/P$12)</f>
        <v>2.5831765868823534E-3</v>
      </c>
      <c r="S47" s="1"/>
      <c r="T47" s="1">
        <f>SUM(OSRRefT22_2x_0)</f>
        <v>0</v>
      </c>
      <c r="U47" s="1"/>
      <c r="V47" s="5">
        <f t="shared" ref="V47:V55" si="33">IF(T$12=0,0,T47/T$12)</f>
        <v>0</v>
      </c>
      <c r="W47" s="1"/>
      <c r="X47" s="1">
        <f t="shared" ref="X47:X55" si="34">+P47-T47</f>
        <v>209.79</v>
      </c>
      <c r="Y47" s="1"/>
      <c r="Z47" s="5">
        <f t="shared" ref="Z47:Z55" si="35">IF(T47=0,0,X47/T47)</f>
        <v>0</v>
      </c>
    </row>
    <row r="48" spans="1:26" s="24" customFormat="1" hidden="1" outlineLevel="2" x14ac:dyDescent="0.25">
      <c r="A48" s="29"/>
      <c r="B48" s="11" t="str">
        <f>CONCATENATE("          ", "6362", " - ", "ADVERTISING EXPENSE")</f>
        <v xml:space="preserve">          6362 - ADVERTISING EXPENSE</v>
      </c>
      <c r="C48" s="11"/>
      <c r="D48" s="7">
        <v>134.65</v>
      </c>
      <c r="E48" s="2"/>
      <c r="F48" s="6">
        <f t="shared" si="28"/>
        <v>2.0447612124363398E-3</v>
      </c>
      <c r="G48" s="2"/>
      <c r="H48" s="7"/>
      <c r="I48" s="2"/>
      <c r="J48" s="6">
        <f t="shared" si="29"/>
        <v>0</v>
      </c>
      <c r="K48" s="2"/>
      <c r="L48" s="7">
        <f t="shared" si="30"/>
        <v>134.65</v>
      </c>
      <c r="M48" s="2"/>
      <c r="N48" s="6">
        <f t="shared" si="31"/>
        <v>0</v>
      </c>
      <c r="O48" s="11"/>
      <c r="P48" s="7">
        <v>209.79</v>
      </c>
      <c r="Q48" s="2"/>
      <c r="R48" s="6">
        <f t="shared" si="32"/>
        <v>2.5831765868823534E-3</v>
      </c>
      <c r="S48" s="2"/>
      <c r="T48" s="7"/>
      <c r="U48" s="2"/>
      <c r="V48" s="6">
        <f t="shared" si="33"/>
        <v>0</v>
      </c>
      <c r="W48" s="2"/>
      <c r="X48" s="7">
        <f t="shared" si="34"/>
        <v>209.79</v>
      </c>
      <c r="Y48" s="2"/>
      <c r="Z48" s="6">
        <f t="shared" si="35"/>
        <v>0</v>
      </c>
    </row>
    <row r="49" spans="1:26" s="28" customFormat="1" outlineLevel="1" collapsed="1" x14ac:dyDescent="0.25">
      <c r="A49" s="27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7.49</v>
      </c>
      <c r="E49" s="1"/>
      <c r="F49" s="5">
        <f t="shared" si="28"/>
        <v>1.1374126610581645E-4</v>
      </c>
      <c r="G49" s="1"/>
      <c r="H49" s="1">
        <f>SUM(OSRRefH22_3x_0)</f>
        <v>0</v>
      </c>
      <c r="I49" s="1"/>
      <c r="J49" s="5">
        <f t="shared" si="29"/>
        <v>0</v>
      </c>
      <c r="K49" s="1"/>
      <c r="L49" s="1">
        <f t="shared" si="30"/>
        <v>7.49</v>
      </c>
      <c r="M49" s="1"/>
      <c r="N49" s="5">
        <f t="shared" si="31"/>
        <v>0</v>
      </c>
      <c r="O49" s="14"/>
      <c r="P49" s="1">
        <f>SUM(OSRRefP22_3x_0)</f>
        <v>-94.51</v>
      </c>
      <c r="Q49" s="1"/>
      <c r="R49" s="5">
        <f t="shared" si="32"/>
        <v>-1.163716188694653E-3</v>
      </c>
      <c r="S49" s="1"/>
      <c r="T49" s="1">
        <f>SUM(OSRRefT22_3x_0)</f>
        <v>0</v>
      </c>
      <c r="U49" s="1"/>
      <c r="V49" s="5">
        <f t="shared" si="33"/>
        <v>0</v>
      </c>
      <c r="W49" s="1"/>
      <c r="X49" s="1">
        <f t="shared" si="34"/>
        <v>-94.51</v>
      </c>
      <c r="Y49" s="1"/>
      <c r="Z49" s="5">
        <f t="shared" si="35"/>
        <v>0</v>
      </c>
    </row>
    <row r="50" spans="1:26" s="24" customFormat="1" hidden="1" outlineLevel="2" x14ac:dyDescent="0.25">
      <c r="A50" s="29"/>
      <c r="B50" s="11" t="str">
        <f>CONCATENATE("          ", "6272", " - ", "CASH (OVER/SHORT)")</f>
        <v xml:space="preserve">          6272 - CASH (OVER/SHORT)</v>
      </c>
      <c r="C50" s="11"/>
      <c r="D50" s="7">
        <v>7.49</v>
      </c>
      <c r="E50" s="2"/>
      <c r="F50" s="6">
        <f t="shared" si="28"/>
        <v>1.1374126610581645E-4</v>
      </c>
      <c r="G50" s="2"/>
      <c r="H50" s="7"/>
      <c r="I50" s="2"/>
      <c r="J50" s="6">
        <f t="shared" si="29"/>
        <v>0</v>
      </c>
      <c r="K50" s="2"/>
      <c r="L50" s="7">
        <f t="shared" si="30"/>
        <v>7.49</v>
      </c>
      <c r="M50" s="2"/>
      <c r="N50" s="6">
        <f t="shared" si="31"/>
        <v>0</v>
      </c>
      <c r="O50" s="11"/>
      <c r="P50" s="7">
        <v>-94.51</v>
      </c>
      <c r="Q50" s="2"/>
      <c r="R50" s="6">
        <f t="shared" si="32"/>
        <v>-1.163716188694653E-3</v>
      </c>
      <c r="S50" s="2"/>
      <c r="T50" s="7"/>
      <c r="U50" s="2"/>
      <c r="V50" s="6">
        <f t="shared" si="33"/>
        <v>0</v>
      </c>
      <c r="W50" s="2"/>
      <c r="X50" s="7">
        <f t="shared" si="34"/>
        <v>-94.51</v>
      </c>
      <c r="Y50" s="2"/>
      <c r="Z50" s="6">
        <f t="shared" si="35"/>
        <v>0</v>
      </c>
    </row>
    <row r="51" spans="1:26" s="28" customFormat="1" outlineLevel="1" collapsed="1" x14ac:dyDescent="0.25">
      <c r="A51" s="27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2587.71</v>
      </c>
      <c r="E51" s="1"/>
      <c r="F51" s="5">
        <f t="shared" si="28"/>
        <v>3.9296316650825405E-2</v>
      </c>
      <c r="G51" s="1"/>
      <c r="H51" s="1">
        <f>SUM(OSRRefH22_4x_0)</f>
        <v>1196</v>
      </c>
      <c r="I51" s="1"/>
      <c r="J51" s="5">
        <f t="shared" si="29"/>
        <v>3.8188900951529471E-2</v>
      </c>
      <c r="K51" s="1"/>
      <c r="L51" s="1">
        <f t="shared" si="30"/>
        <v>1391.71</v>
      </c>
      <c r="M51" s="1"/>
      <c r="N51" s="5">
        <f t="shared" si="31"/>
        <v>1.1636371237458194</v>
      </c>
      <c r="O51" s="14"/>
      <c r="P51" s="1">
        <f>SUM(OSRRefP22_4x_0)</f>
        <v>3309.52</v>
      </c>
      <c r="Q51" s="1"/>
      <c r="R51" s="5">
        <f t="shared" si="32"/>
        <v>4.0750629571566263E-2</v>
      </c>
      <c r="S51" s="1"/>
      <c r="T51" s="1">
        <f>SUM(OSRRefT22_4x_0)</f>
        <v>1503</v>
      </c>
      <c r="U51" s="1"/>
      <c r="V51" s="5">
        <f t="shared" si="33"/>
        <v>3.8189856692753328E-2</v>
      </c>
      <c r="W51" s="1"/>
      <c r="X51" s="1">
        <f t="shared" si="34"/>
        <v>1806.52</v>
      </c>
      <c r="Y51" s="1"/>
      <c r="Z51" s="5">
        <f t="shared" si="35"/>
        <v>1.2019427811044578</v>
      </c>
    </row>
    <row r="52" spans="1:26" s="24" customFormat="1" hidden="1" outlineLevel="2" x14ac:dyDescent="0.25">
      <c r="A52" s="29"/>
      <c r="B52" s="11" t="str">
        <f>CONCATENATE("          ", "6381", " - ", "BANK/CREDIT CARD FEES")</f>
        <v xml:space="preserve">          6381 - BANK/CREDIT CARD FEES</v>
      </c>
      <c r="C52" s="11"/>
      <c r="D52" s="7">
        <v>2587.71</v>
      </c>
      <c r="E52" s="2"/>
      <c r="F52" s="6">
        <f t="shared" si="28"/>
        <v>3.9296316650825405E-2</v>
      </c>
      <c r="G52" s="2"/>
      <c r="H52" s="7">
        <v>1196</v>
      </c>
      <c r="I52" s="2"/>
      <c r="J52" s="6">
        <f t="shared" si="29"/>
        <v>3.8188900951529471E-2</v>
      </c>
      <c r="K52" s="2"/>
      <c r="L52" s="7">
        <f t="shared" si="30"/>
        <v>1391.71</v>
      </c>
      <c r="M52" s="2"/>
      <c r="N52" s="6">
        <f t="shared" si="31"/>
        <v>1.1636371237458194</v>
      </c>
      <c r="O52" s="11"/>
      <c r="P52" s="7">
        <v>3309.52</v>
      </c>
      <c r="Q52" s="2"/>
      <c r="R52" s="6">
        <f t="shared" si="32"/>
        <v>4.0750629571566263E-2</v>
      </c>
      <c r="S52" s="2"/>
      <c r="T52" s="7">
        <v>1503</v>
      </c>
      <c r="U52" s="2"/>
      <c r="V52" s="6">
        <f t="shared" si="33"/>
        <v>3.8189856692753328E-2</v>
      </c>
      <c r="W52" s="2"/>
      <c r="X52" s="7">
        <f t="shared" si="34"/>
        <v>1806.52</v>
      </c>
      <c r="Y52" s="2"/>
      <c r="Z52" s="6">
        <f t="shared" si="35"/>
        <v>1.2019427811044578</v>
      </c>
    </row>
    <row r="53" spans="1:26" s="28" customFormat="1" outlineLevel="1" collapsed="1" x14ac:dyDescent="0.25">
      <c r="A53" s="27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4626.5</v>
      </c>
      <c r="E53" s="1"/>
      <c r="F53" s="5">
        <f t="shared" si="28"/>
        <v>7.025687151382641E-2</v>
      </c>
      <c r="G53" s="1"/>
      <c r="H53" s="1">
        <f>SUM(OSRRefH22_5x_0)</f>
        <v>4733</v>
      </c>
      <c r="I53" s="1"/>
      <c r="J53" s="5">
        <f t="shared" si="29"/>
        <v>0.15112714732741556</v>
      </c>
      <c r="K53" s="1"/>
      <c r="L53" s="1">
        <f t="shared" si="30"/>
        <v>-106.5</v>
      </c>
      <c r="M53" s="1"/>
      <c r="N53" s="5">
        <f t="shared" si="31"/>
        <v>-2.2501584618635113E-2</v>
      </c>
      <c r="O53" s="14"/>
      <c r="P53" s="1">
        <f>SUM(OSRRefP22_5x_0)</f>
        <v>13879.5</v>
      </c>
      <c r="Q53" s="1"/>
      <c r="R53" s="5">
        <f t="shared" si="32"/>
        <v>0.17090042155314183</v>
      </c>
      <c r="S53" s="1"/>
      <c r="T53" s="1">
        <f>SUM(OSRRefT22_5x_0)</f>
        <v>14199</v>
      </c>
      <c r="U53" s="1"/>
      <c r="V53" s="5">
        <f t="shared" si="33"/>
        <v>0.36078361622116067</v>
      </c>
      <c r="W53" s="1"/>
      <c r="X53" s="1">
        <f t="shared" si="34"/>
        <v>-319.5</v>
      </c>
      <c r="Y53" s="1"/>
      <c r="Z53" s="5">
        <f t="shared" si="35"/>
        <v>-2.2501584618635113E-2</v>
      </c>
    </row>
    <row r="54" spans="1:26" s="24" customFormat="1" hidden="1" outlineLevel="2" x14ac:dyDescent="0.25">
      <c r="A54" s="29"/>
      <c r="B54" s="11" t="str">
        <f>CONCATENATE("          ", "6321", " - ", "BUILDING DEPRECIATION")</f>
        <v xml:space="preserve">          6321 - BUILDING DEPRECIATION</v>
      </c>
      <c r="C54" s="11"/>
      <c r="D54" s="7">
        <v>4626.5</v>
      </c>
      <c r="E54" s="2"/>
      <c r="F54" s="6">
        <f t="shared" si="28"/>
        <v>7.025687151382641E-2</v>
      </c>
      <c r="G54" s="2"/>
      <c r="H54" s="7"/>
      <c r="I54" s="2"/>
      <c r="J54" s="6">
        <f t="shared" si="29"/>
        <v>0</v>
      </c>
      <c r="K54" s="2"/>
      <c r="L54" s="7">
        <f t="shared" si="30"/>
        <v>4626.5</v>
      </c>
      <c r="M54" s="2"/>
      <c r="N54" s="6">
        <f t="shared" si="31"/>
        <v>0</v>
      </c>
      <c r="O54" s="11"/>
      <c r="P54" s="7">
        <v>13879.5</v>
      </c>
      <c r="Q54" s="2"/>
      <c r="R54" s="6">
        <f t="shared" si="32"/>
        <v>0.17090042155314183</v>
      </c>
      <c r="S54" s="2"/>
      <c r="T54" s="7"/>
      <c r="U54" s="2"/>
      <c r="V54" s="6">
        <f t="shared" si="33"/>
        <v>0</v>
      </c>
      <c r="W54" s="2"/>
      <c r="X54" s="7">
        <f t="shared" si="34"/>
        <v>13879.5</v>
      </c>
      <c r="Y54" s="2"/>
      <c r="Z54" s="6">
        <f t="shared" si="35"/>
        <v>0</v>
      </c>
    </row>
    <row r="55" spans="1:26" s="24" customFormat="1" hidden="1" outlineLevel="2" x14ac:dyDescent="0.25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7"/>
      <c r="E55" s="2"/>
      <c r="F55" s="6">
        <f t="shared" si="28"/>
        <v>0</v>
      </c>
      <c r="G55" s="2"/>
      <c r="H55" s="7">
        <v>4733</v>
      </c>
      <c r="I55" s="2"/>
      <c r="J55" s="6">
        <f t="shared" si="29"/>
        <v>0.15112714732741556</v>
      </c>
      <c r="K55" s="2"/>
      <c r="L55" s="7">
        <f t="shared" si="30"/>
        <v>-4733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14199</v>
      </c>
      <c r="U55" s="2"/>
      <c r="V55" s="6">
        <f t="shared" si="33"/>
        <v>0.36078361622116067</v>
      </c>
      <c r="W55" s="2"/>
      <c r="X55" s="7">
        <f t="shared" si="34"/>
        <v>-14199</v>
      </c>
      <c r="Y55" s="2"/>
      <c r="Z55" s="6">
        <f t="shared" si="35"/>
        <v>-1</v>
      </c>
    </row>
    <row r="56" spans="1:26" s="28" customFormat="1" outlineLevel="1" collapsed="1" x14ac:dyDescent="0.25">
      <c r="A56" s="27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SUM(OSRRefD22_6x_0)</f>
        <v>0</v>
      </c>
      <c r="E56" s="1"/>
      <c r="F56" s="5">
        <f t="shared" ref="F56:F64" si="36">IF(D$12=0,0,D56/D$12)</f>
        <v>0</v>
      </c>
      <c r="G56" s="1"/>
      <c r="H56" s="1">
        <f>SUM(OSRRefH22_6x_0)</f>
        <v>0</v>
      </c>
      <c r="I56" s="1"/>
      <c r="J56" s="5">
        <f t="shared" ref="J56:J64" si="37">IF(H$12=0,0,H56/H$12)</f>
        <v>0</v>
      </c>
      <c r="K56" s="1"/>
      <c r="L56" s="1">
        <f t="shared" ref="L56:L64" si="38">+D56-H56</f>
        <v>0</v>
      </c>
      <c r="M56" s="1"/>
      <c r="N56" s="5">
        <f t="shared" ref="N56:N64" si="39">IF(H56=0,0,L56/H56)</f>
        <v>0</v>
      </c>
      <c r="O56" s="14"/>
      <c r="P56" s="1">
        <f>SUM(OSRRefP22_6x_0)</f>
        <v>0</v>
      </c>
      <c r="Q56" s="1"/>
      <c r="R56" s="5">
        <f t="shared" ref="R56:R64" si="40">IF(P$12=0,0,P56/P$12)</f>
        <v>0</v>
      </c>
      <c r="S56" s="1"/>
      <c r="T56" s="1">
        <f>SUM(OSRRefT22_6x_0)</f>
        <v>20</v>
      </c>
      <c r="U56" s="1"/>
      <c r="V56" s="5">
        <f t="shared" ref="V56:V64" si="41">IF(T$12=0,0,T56/T$12)</f>
        <v>5.0818172578514077E-4</v>
      </c>
      <c r="W56" s="1"/>
      <c r="X56" s="1">
        <f t="shared" ref="X56:X64" si="42">+P56-T56</f>
        <v>-20</v>
      </c>
      <c r="Y56" s="1"/>
      <c r="Z56" s="5">
        <f t="shared" ref="Z56:Z64" si="43">IF(T56=0,0,X56/T56)</f>
        <v>-1</v>
      </c>
    </row>
    <row r="57" spans="1:26" s="24" customFormat="1" hidden="1" outlineLevel="2" x14ac:dyDescent="0.25">
      <c r="A57" s="29"/>
      <c r="B57" s="11" t="str">
        <f>CONCATENATE("          ", "6277", " - ", "EMPLOYEE APPRECIATION")</f>
        <v xml:space="preserve">          6277 - EMPLOYEE APPRECIATION</v>
      </c>
      <c r="C57" s="11"/>
      <c r="D57" s="7"/>
      <c r="E57" s="2"/>
      <c r="F57" s="6">
        <f t="shared" si="36"/>
        <v>0</v>
      </c>
      <c r="G57" s="2"/>
      <c r="H57" s="7"/>
      <c r="I57" s="2"/>
      <c r="J57" s="6">
        <f t="shared" si="37"/>
        <v>0</v>
      </c>
      <c r="K57" s="2"/>
      <c r="L57" s="7">
        <f t="shared" si="38"/>
        <v>0</v>
      </c>
      <c r="M57" s="2"/>
      <c r="N57" s="6">
        <f t="shared" si="39"/>
        <v>0</v>
      </c>
      <c r="O57" s="11"/>
      <c r="P57" s="7"/>
      <c r="Q57" s="2"/>
      <c r="R57" s="6">
        <f t="shared" si="40"/>
        <v>0</v>
      </c>
      <c r="S57" s="2"/>
      <c r="T57" s="7">
        <v>20</v>
      </c>
      <c r="U57" s="2"/>
      <c r="V57" s="6">
        <f t="shared" si="41"/>
        <v>5.0818172578514077E-4</v>
      </c>
      <c r="W57" s="2"/>
      <c r="X57" s="7">
        <f t="shared" si="42"/>
        <v>-20</v>
      </c>
      <c r="Y57" s="2"/>
      <c r="Z57" s="6">
        <f t="shared" si="43"/>
        <v>-1</v>
      </c>
    </row>
    <row r="58" spans="1:26" s="28" customFormat="1" outlineLevel="1" collapsed="1" x14ac:dyDescent="0.25">
      <c r="A58" s="27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SUM(OSRRefD22_7x_0)</f>
        <v>0</v>
      </c>
      <c r="E58" s="1"/>
      <c r="F58" s="5">
        <f t="shared" si="36"/>
        <v>0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0</v>
      </c>
      <c r="M58" s="1"/>
      <c r="N58" s="5">
        <f t="shared" si="39"/>
        <v>0</v>
      </c>
      <c r="O58" s="14"/>
      <c r="P58" s="1">
        <f>SUM(OSRRefP22_7x_0)</f>
        <v>1887.3</v>
      </c>
      <c r="Q58" s="1"/>
      <c r="R58" s="5">
        <f t="shared" si="40"/>
        <v>2.3238615627165574E-2</v>
      </c>
      <c r="S58" s="1"/>
      <c r="T58" s="1">
        <f>SUM(OSRRefT22_7x_0)</f>
        <v>0</v>
      </c>
      <c r="U58" s="1"/>
      <c r="V58" s="5">
        <f t="shared" si="41"/>
        <v>0</v>
      </c>
      <c r="W58" s="1"/>
      <c r="X58" s="1">
        <f t="shared" si="42"/>
        <v>1887.3</v>
      </c>
      <c r="Y58" s="1"/>
      <c r="Z58" s="5">
        <f t="shared" si="43"/>
        <v>0</v>
      </c>
    </row>
    <row r="59" spans="1:26" s="24" customFormat="1" hidden="1" outlineLevel="2" x14ac:dyDescent="0.25">
      <c r="A59" s="29"/>
      <c r="B59" s="11" t="str">
        <f>CONCATENATE("          ", "6279", " - ", "GENERAL EXPENSE")</f>
        <v xml:space="preserve">          6279 - GENERAL EXPENSE</v>
      </c>
      <c r="C59" s="11"/>
      <c r="D59" s="7"/>
      <c r="E59" s="2"/>
      <c r="F59" s="6">
        <f t="shared" si="36"/>
        <v>0</v>
      </c>
      <c r="G59" s="2"/>
      <c r="H59" s="7"/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>
        <v>1887.3</v>
      </c>
      <c r="Q59" s="2"/>
      <c r="R59" s="6">
        <f t="shared" si="40"/>
        <v>2.3238615627165574E-2</v>
      </c>
      <c r="S59" s="2"/>
      <c r="T59" s="7"/>
      <c r="U59" s="2"/>
      <c r="V59" s="6">
        <f t="shared" si="41"/>
        <v>0</v>
      </c>
      <c r="W59" s="2"/>
      <c r="X59" s="7">
        <f t="shared" si="42"/>
        <v>1887.3</v>
      </c>
      <c r="Y59" s="2"/>
      <c r="Z59" s="6">
        <f t="shared" si="43"/>
        <v>0</v>
      </c>
    </row>
    <row r="60" spans="1:26" s="28" customFormat="1" outlineLevel="1" collapsed="1" x14ac:dyDescent="0.25">
      <c r="A60" s="27"/>
      <c r="B60" s="14" t="str">
        <f>CONCATENATE("     ","Rent                                              ")</f>
        <v xml:space="preserve">     Rent                                              </v>
      </c>
      <c r="C60" s="14"/>
      <c r="D60" s="1">
        <f>SUM(OSRRefD22_8x_0)</f>
        <v>1850</v>
      </c>
      <c r="E60" s="1"/>
      <c r="F60" s="5">
        <f t="shared" si="36"/>
        <v>2.8093637155642247E-2</v>
      </c>
      <c r="G60" s="1"/>
      <c r="H60" s="1">
        <f>SUM(OSRRefH22_8x_0)</f>
        <v>1850</v>
      </c>
      <c r="I60" s="1"/>
      <c r="J60" s="5">
        <f t="shared" si="37"/>
        <v>5.907146050194776E-2</v>
      </c>
      <c r="K60" s="1"/>
      <c r="L60" s="1">
        <f t="shared" si="38"/>
        <v>0</v>
      </c>
      <c r="M60" s="1"/>
      <c r="N60" s="5">
        <f t="shared" si="39"/>
        <v>0</v>
      </c>
      <c r="O60" s="14"/>
      <c r="P60" s="1">
        <f>SUM(OSRRefP22_8x_0)</f>
        <v>5550</v>
      </c>
      <c r="Q60" s="1"/>
      <c r="R60" s="5">
        <f t="shared" si="40"/>
        <v>6.8338004943977612E-2</v>
      </c>
      <c r="S60" s="1"/>
      <c r="T60" s="1">
        <f>SUM(OSRRefT22_8x_0)</f>
        <v>5550</v>
      </c>
      <c r="U60" s="1"/>
      <c r="V60" s="5">
        <f t="shared" si="41"/>
        <v>0.14102042890537655</v>
      </c>
      <c r="W60" s="1"/>
      <c r="X60" s="1">
        <f t="shared" si="42"/>
        <v>0</v>
      </c>
      <c r="Y60" s="1"/>
      <c r="Z60" s="5">
        <f t="shared" si="43"/>
        <v>0</v>
      </c>
    </row>
    <row r="61" spans="1:26" s="24" customFormat="1" hidden="1" outlineLevel="2" x14ac:dyDescent="0.25">
      <c r="A61" s="29"/>
      <c r="B61" s="11" t="str">
        <f>CONCATENATE("          ", "6273", " - ", "RENT")</f>
        <v xml:space="preserve">          6273 - RENT</v>
      </c>
      <c r="C61" s="11"/>
      <c r="D61" s="7">
        <v>1850</v>
      </c>
      <c r="E61" s="2"/>
      <c r="F61" s="6">
        <f t="shared" si="36"/>
        <v>2.8093637155642247E-2</v>
      </c>
      <c r="G61" s="2"/>
      <c r="H61" s="7">
        <v>1850</v>
      </c>
      <c r="I61" s="2"/>
      <c r="J61" s="6">
        <f t="shared" si="37"/>
        <v>5.907146050194776E-2</v>
      </c>
      <c r="K61" s="2"/>
      <c r="L61" s="7">
        <f t="shared" si="38"/>
        <v>0</v>
      </c>
      <c r="M61" s="2"/>
      <c r="N61" s="6">
        <f t="shared" si="39"/>
        <v>0</v>
      </c>
      <c r="O61" s="11"/>
      <c r="P61" s="7">
        <v>5550</v>
      </c>
      <c r="Q61" s="2"/>
      <c r="R61" s="6">
        <f t="shared" si="40"/>
        <v>6.8338004943977612E-2</v>
      </c>
      <c r="S61" s="2"/>
      <c r="T61" s="7">
        <v>5550</v>
      </c>
      <c r="U61" s="2"/>
      <c r="V61" s="6">
        <f t="shared" si="41"/>
        <v>0.14102042890537655</v>
      </c>
      <c r="W61" s="2"/>
      <c r="X61" s="7">
        <f t="shared" si="42"/>
        <v>0</v>
      </c>
      <c r="Y61" s="2"/>
      <c r="Z61" s="6">
        <f t="shared" si="43"/>
        <v>0</v>
      </c>
    </row>
    <row r="62" spans="1:26" s="28" customFormat="1" outlineLevel="1" collapsed="1" x14ac:dyDescent="0.25">
      <c r="A62" s="27"/>
      <c r="B62" s="14" t="str">
        <f>CONCATENATE("     ","Repair and Maintenance                            ")</f>
        <v xml:space="preserve">     Repair and Maintenance                            </v>
      </c>
      <c r="C62" s="14"/>
      <c r="D62" s="1">
        <f>SUM(OSRRefD22_9x_0)</f>
        <v>71.86</v>
      </c>
      <c r="E62" s="1"/>
      <c r="F62" s="5">
        <f t="shared" si="36"/>
        <v>1.091247981624028E-3</v>
      </c>
      <c r="G62" s="1"/>
      <c r="H62" s="1">
        <f>SUM(OSRRefH22_9x_0)</f>
        <v>500</v>
      </c>
      <c r="I62" s="1"/>
      <c r="J62" s="5">
        <f t="shared" si="37"/>
        <v>1.5965259595121017E-2</v>
      </c>
      <c r="K62" s="1"/>
      <c r="L62" s="1">
        <f t="shared" si="38"/>
        <v>-428.14</v>
      </c>
      <c r="M62" s="1"/>
      <c r="N62" s="5">
        <f t="shared" si="39"/>
        <v>-0.85627999999999993</v>
      </c>
      <c r="O62" s="14"/>
      <c r="P62" s="1">
        <f>SUM(OSRRefP22_9x_0)</f>
        <v>1867.8899999999999</v>
      </c>
      <c r="Q62" s="1"/>
      <c r="R62" s="5">
        <f t="shared" si="40"/>
        <v>2.2999617307172312E-2</v>
      </c>
      <c r="S62" s="1"/>
      <c r="T62" s="1">
        <f>SUM(OSRRefT22_9x_0)</f>
        <v>1650</v>
      </c>
      <c r="U62" s="1"/>
      <c r="V62" s="5">
        <f t="shared" si="41"/>
        <v>4.1924992377274116E-2</v>
      </c>
      <c r="W62" s="1"/>
      <c r="X62" s="1">
        <f t="shared" si="42"/>
        <v>217.88999999999987</v>
      </c>
      <c r="Y62" s="1"/>
      <c r="Z62" s="5">
        <f t="shared" si="43"/>
        <v>0.13205454545454537</v>
      </c>
    </row>
    <row r="63" spans="1:26" s="24" customFormat="1" hidden="1" outlineLevel="2" x14ac:dyDescent="0.25">
      <c r="A63" s="29"/>
      <c r="B63" s="11" t="str">
        <f>CONCATENATE("          ", "6373", " - ", "MAINTENANCE CONTRACTS")</f>
        <v xml:space="preserve">          6373 - MAINTENANCE CONTRACTS</v>
      </c>
      <c r="C63" s="11"/>
      <c r="D63" s="7">
        <v>71.86</v>
      </c>
      <c r="E63" s="2"/>
      <c r="F63" s="6">
        <f t="shared" si="36"/>
        <v>1.091247981624028E-3</v>
      </c>
      <c r="G63" s="2"/>
      <c r="H63" s="7"/>
      <c r="I63" s="2"/>
      <c r="J63" s="6">
        <f t="shared" si="37"/>
        <v>0</v>
      </c>
      <c r="K63" s="2"/>
      <c r="L63" s="7">
        <f t="shared" si="38"/>
        <v>71.86</v>
      </c>
      <c r="M63" s="2"/>
      <c r="N63" s="6">
        <f t="shared" si="39"/>
        <v>0</v>
      </c>
      <c r="O63" s="11"/>
      <c r="P63" s="7">
        <v>71.86</v>
      </c>
      <c r="Q63" s="2"/>
      <c r="R63" s="6">
        <f t="shared" si="40"/>
        <v>8.848232495989605E-4</v>
      </c>
      <c r="S63" s="2"/>
      <c r="T63" s="7">
        <v>150</v>
      </c>
      <c r="U63" s="2"/>
      <c r="V63" s="6">
        <f t="shared" si="41"/>
        <v>3.8113629433885556E-3</v>
      </c>
      <c r="W63" s="2"/>
      <c r="X63" s="7">
        <f t="shared" si="42"/>
        <v>-78.14</v>
      </c>
      <c r="Y63" s="2"/>
      <c r="Z63" s="6">
        <f t="shared" si="43"/>
        <v>-0.52093333333333336</v>
      </c>
    </row>
    <row r="64" spans="1:26" s="24" customFormat="1" hidden="1" outlineLevel="2" x14ac:dyDescent="0.25">
      <c r="A64" s="29"/>
      <c r="B64" s="11" t="str">
        <f>CONCATENATE("          ", "6375", " - ", "OUTSIDE REPAIRS &amp; MAINTENANCE")</f>
        <v xml:space="preserve">          6375 - OUTSIDE REPAIRS &amp; MAINTENANCE</v>
      </c>
      <c r="C64" s="11"/>
      <c r="D64" s="7"/>
      <c r="E64" s="2"/>
      <c r="F64" s="6">
        <f t="shared" si="36"/>
        <v>0</v>
      </c>
      <c r="G64" s="2"/>
      <c r="H64" s="7">
        <v>500</v>
      </c>
      <c r="I64" s="2"/>
      <c r="J64" s="6">
        <f t="shared" si="37"/>
        <v>1.5965259595121017E-2</v>
      </c>
      <c r="K64" s="2"/>
      <c r="L64" s="7">
        <f t="shared" si="38"/>
        <v>-500</v>
      </c>
      <c r="M64" s="2"/>
      <c r="N64" s="6">
        <f t="shared" si="39"/>
        <v>-1</v>
      </c>
      <c r="O64" s="11"/>
      <c r="P64" s="7">
        <v>1796.03</v>
      </c>
      <c r="Q64" s="2"/>
      <c r="R64" s="6">
        <f t="shared" si="40"/>
        <v>2.2114794057573352E-2</v>
      </c>
      <c r="S64" s="2"/>
      <c r="T64" s="7">
        <v>1500</v>
      </c>
      <c r="U64" s="2"/>
      <c r="V64" s="6">
        <f t="shared" si="41"/>
        <v>3.8113629433885556E-2</v>
      </c>
      <c r="W64" s="2"/>
      <c r="X64" s="7">
        <f t="shared" si="42"/>
        <v>296.02999999999997</v>
      </c>
      <c r="Y64" s="2"/>
      <c r="Z64" s="6">
        <f t="shared" si="43"/>
        <v>0.19735333333333333</v>
      </c>
    </row>
    <row r="65" spans="1:26" s="28" customFormat="1" outlineLevel="1" collapsed="1" x14ac:dyDescent="0.25">
      <c r="A65" s="27"/>
      <c r="B65" s="14" t="str">
        <f>CONCATENATE("     ","Services                                          ")</f>
        <v xml:space="preserve">     Services                                          </v>
      </c>
      <c r="C65" s="14"/>
      <c r="D65" s="1">
        <f>SUM(OSRRefD22_10x_0)</f>
        <v>3733.86</v>
      </c>
      <c r="E65" s="1"/>
      <c r="F65" s="5">
        <f t="shared" ref="F65:F69" si="44">IF(D$12=0,0,D65/D$12)</f>
        <v>5.6701463799981817E-2</v>
      </c>
      <c r="G65" s="1"/>
      <c r="H65" s="1">
        <f>SUM(OSRRefH22_10x_0)</f>
        <v>2273</v>
      </c>
      <c r="I65" s="1"/>
      <c r="J65" s="5">
        <f t="shared" ref="J65:J69" si="45">IF(H$12=0,0,H65/H$12)</f>
        <v>7.2578070119420135E-2</v>
      </c>
      <c r="K65" s="1"/>
      <c r="L65" s="1">
        <f t="shared" ref="L65:L69" si="46">+D65-H65</f>
        <v>1460.8600000000001</v>
      </c>
      <c r="M65" s="1"/>
      <c r="N65" s="5">
        <f t="shared" ref="N65:N69" si="47">IF(H65=0,0,L65/H65)</f>
        <v>0.6427012758468984</v>
      </c>
      <c r="O65" s="14"/>
      <c r="P65" s="1">
        <f>SUM(OSRRefP22_10x_0)</f>
        <v>3733.86</v>
      </c>
      <c r="Q65" s="1"/>
      <c r="R65" s="5">
        <f t="shared" ref="R65:R69" si="48">IF(P$12=0,0,P65/P$12)</f>
        <v>4.5975593358580223E-2</v>
      </c>
      <c r="S65" s="1"/>
      <c r="T65" s="1">
        <f>SUM(OSRRefT22_10x_0)</f>
        <v>4606</v>
      </c>
      <c r="U65" s="1"/>
      <c r="V65" s="5">
        <f t="shared" ref="V65:V69" si="49">IF(T$12=0,0,T65/T$12)</f>
        <v>0.11703425144831792</v>
      </c>
      <c r="W65" s="1"/>
      <c r="X65" s="1">
        <f t="shared" ref="X65:X69" si="50">+P65-T65</f>
        <v>-872.13999999999987</v>
      </c>
      <c r="Y65" s="1"/>
      <c r="Z65" s="5">
        <f t="shared" ref="Z65:Z69" si="51">IF(T65=0,0,X65/T65)</f>
        <v>-0.18934867564046892</v>
      </c>
    </row>
    <row r="66" spans="1:26" s="24" customFormat="1" hidden="1" outlineLevel="2" x14ac:dyDescent="0.25">
      <c r="A66" s="29"/>
      <c r="B66" s="11" t="str">
        <f>CONCATENATE("          ", "6282", " - ", "JANITORIAL/EXTERMINATOR EXPENS")</f>
        <v xml:space="preserve">          6282 - JANITORIAL/EXTERMINATOR EXPENS</v>
      </c>
      <c r="C66" s="11"/>
      <c r="D66" s="7"/>
      <c r="E66" s="2"/>
      <c r="F66" s="6">
        <f t="shared" si="44"/>
        <v>0</v>
      </c>
      <c r="G66" s="2"/>
      <c r="H66" s="7">
        <v>150</v>
      </c>
      <c r="I66" s="2"/>
      <c r="J66" s="6">
        <f t="shared" si="45"/>
        <v>4.7895778785363051E-3</v>
      </c>
      <c r="K66" s="2"/>
      <c r="L66" s="7">
        <f t="shared" si="46"/>
        <v>-150</v>
      </c>
      <c r="M66" s="2"/>
      <c r="N66" s="6">
        <f t="shared" si="47"/>
        <v>-1</v>
      </c>
      <c r="O66" s="11"/>
      <c r="P66" s="7"/>
      <c r="Q66" s="2"/>
      <c r="R66" s="6">
        <f t="shared" si="48"/>
        <v>0</v>
      </c>
      <c r="S66" s="2"/>
      <c r="T66" s="7">
        <v>350</v>
      </c>
      <c r="U66" s="2"/>
      <c r="V66" s="6">
        <f t="shared" si="49"/>
        <v>8.8931802012399627E-3</v>
      </c>
      <c r="W66" s="2"/>
      <c r="X66" s="7">
        <f t="shared" si="50"/>
        <v>-350</v>
      </c>
      <c r="Y66" s="2"/>
      <c r="Z66" s="6">
        <f t="shared" si="51"/>
        <v>-1</v>
      </c>
    </row>
    <row r="67" spans="1:26" s="24" customFormat="1" hidden="1" outlineLevel="2" x14ac:dyDescent="0.25">
      <c r="A67" s="29"/>
      <c r="B67" s="11" t="str">
        <f>CONCATENATE("          ", "6284", " - ", "TRASH REMOVAL EXPENSE")</f>
        <v xml:space="preserve">          6284 - TRASH REMOVAL EXPENSE</v>
      </c>
      <c r="C67" s="11"/>
      <c r="D67" s="7"/>
      <c r="E67" s="2"/>
      <c r="F67" s="6">
        <f t="shared" si="44"/>
        <v>0</v>
      </c>
      <c r="G67" s="2"/>
      <c r="H67" s="7"/>
      <c r="I67" s="2"/>
      <c r="J67" s="6">
        <f t="shared" si="45"/>
        <v>0</v>
      </c>
      <c r="K67" s="2"/>
      <c r="L67" s="7">
        <f t="shared" si="46"/>
        <v>0</v>
      </c>
      <c r="M67" s="2"/>
      <c r="N67" s="6">
        <f t="shared" si="47"/>
        <v>0</v>
      </c>
      <c r="O67" s="11"/>
      <c r="P67" s="7"/>
      <c r="Q67" s="2"/>
      <c r="R67" s="6">
        <f t="shared" si="48"/>
        <v>0</v>
      </c>
      <c r="S67" s="2"/>
      <c r="T67" s="7">
        <v>0</v>
      </c>
      <c r="U67" s="2"/>
      <c r="V67" s="6">
        <f t="shared" si="49"/>
        <v>0</v>
      </c>
      <c r="W67" s="2"/>
      <c r="X67" s="7">
        <f t="shared" si="50"/>
        <v>0</v>
      </c>
      <c r="Y67" s="2"/>
      <c r="Z67" s="6">
        <f t="shared" si="51"/>
        <v>0</v>
      </c>
    </row>
    <row r="68" spans="1:26" s="24" customFormat="1" hidden="1" outlineLevel="2" x14ac:dyDescent="0.25">
      <c r="A68" s="29"/>
      <c r="B68" s="11" t="str">
        <f>CONCATENATE("          ", "6285", " - ", "JANITORIAL SERVICES")</f>
        <v xml:space="preserve">          6285 - JANITORIAL SERVICES</v>
      </c>
      <c r="C68" s="11"/>
      <c r="D68" s="7">
        <v>3660</v>
      </c>
      <c r="E68" s="2"/>
      <c r="F68" s="6">
        <f t="shared" si="44"/>
        <v>5.5579844318730066E-2</v>
      </c>
      <c r="G68" s="2"/>
      <c r="H68" s="7">
        <v>2083</v>
      </c>
      <c r="I68" s="2"/>
      <c r="J68" s="6">
        <f t="shared" si="45"/>
        <v>6.6511271473274153E-2</v>
      </c>
      <c r="K68" s="2"/>
      <c r="L68" s="7">
        <f t="shared" si="46"/>
        <v>1577</v>
      </c>
      <c r="M68" s="2"/>
      <c r="N68" s="6">
        <f t="shared" si="47"/>
        <v>0.75708113298127699</v>
      </c>
      <c r="O68" s="11"/>
      <c r="P68" s="7">
        <v>3660</v>
      </c>
      <c r="Q68" s="2"/>
      <c r="R68" s="6">
        <f t="shared" si="48"/>
        <v>4.5066143800893341E-2</v>
      </c>
      <c r="S68" s="2"/>
      <c r="T68" s="7">
        <v>4166</v>
      </c>
      <c r="U68" s="2"/>
      <c r="V68" s="6">
        <f t="shared" si="49"/>
        <v>0.10585425348104482</v>
      </c>
      <c r="W68" s="2"/>
      <c r="X68" s="7">
        <f t="shared" si="50"/>
        <v>-506</v>
      </c>
      <c r="Y68" s="2"/>
      <c r="Z68" s="6">
        <f t="shared" si="51"/>
        <v>-0.1214594335093615</v>
      </c>
    </row>
    <row r="69" spans="1:26" s="24" customFormat="1" hidden="1" outlineLevel="2" x14ac:dyDescent="0.25">
      <c r="A69" s="29"/>
      <c r="B69" s="11" t="str">
        <f>CONCATENATE("          ", "6286", " - ", "LAUNDRY EXPENSE")</f>
        <v xml:space="preserve">          6286 - LAUNDRY EXPENSE</v>
      </c>
      <c r="C69" s="11"/>
      <c r="D69" s="7">
        <v>73.86</v>
      </c>
      <c r="E69" s="2"/>
      <c r="F69" s="6">
        <f t="shared" si="44"/>
        <v>1.1216194812517493E-3</v>
      </c>
      <c r="G69" s="2"/>
      <c r="H69" s="7">
        <v>40</v>
      </c>
      <c r="I69" s="2"/>
      <c r="J69" s="6">
        <f t="shared" si="45"/>
        <v>1.2772207676096812E-3</v>
      </c>
      <c r="K69" s="2"/>
      <c r="L69" s="7">
        <f t="shared" si="46"/>
        <v>33.86</v>
      </c>
      <c r="M69" s="2"/>
      <c r="N69" s="6">
        <f t="shared" si="47"/>
        <v>0.84650000000000003</v>
      </c>
      <c r="O69" s="11"/>
      <c r="P69" s="7">
        <v>73.86</v>
      </c>
      <c r="Q69" s="2"/>
      <c r="R69" s="6">
        <f t="shared" si="48"/>
        <v>9.094495576868804E-4</v>
      </c>
      <c r="S69" s="2"/>
      <c r="T69" s="7">
        <v>90</v>
      </c>
      <c r="U69" s="2"/>
      <c r="V69" s="6">
        <f t="shared" si="49"/>
        <v>2.2868177660331336E-3</v>
      </c>
      <c r="W69" s="2"/>
      <c r="X69" s="7">
        <f t="shared" si="50"/>
        <v>-16.14</v>
      </c>
      <c r="Y69" s="2"/>
      <c r="Z69" s="6">
        <f t="shared" si="51"/>
        <v>-0.17933333333333334</v>
      </c>
    </row>
    <row r="70" spans="1:26" s="28" customFormat="1" outlineLevel="1" collapsed="1" x14ac:dyDescent="0.25">
      <c r="A70" s="27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1">
        <f>SUM(OSRRefD22_11x_0)</f>
        <v>0</v>
      </c>
      <c r="E70" s="1"/>
      <c r="F70" s="5">
        <f t="shared" ref="F70:F80" si="52">IF(D$12=0,0,D70/D$12)</f>
        <v>0</v>
      </c>
      <c r="G70" s="1"/>
      <c r="H70" s="1">
        <f>SUM(OSRRefH22_11x_0)</f>
        <v>30</v>
      </c>
      <c r="I70" s="1"/>
      <c r="J70" s="5">
        <f t="shared" ref="J70:J80" si="53">IF(H$12=0,0,H70/H$12)</f>
        <v>9.5791557570726099E-4</v>
      </c>
      <c r="K70" s="1"/>
      <c r="L70" s="1">
        <f t="shared" ref="L70:L80" si="54">+D70-H70</f>
        <v>-30</v>
      </c>
      <c r="M70" s="1"/>
      <c r="N70" s="5">
        <f t="shared" ref="N70:N80" si="55">IF(H70=0,0,L70/H70)</f>
        <v>-1</v>
      </c>
      <c r="O70" s="14"/>
      <c r="P70" s="1">
        <f>SUM(OSRRefP22_11x_0)</f>
        <v>0</v>
      </c>
      <c r="Q70" s="1"/>
      <c r="R70" s="5">
        <f t="shared" ref="R70:R80" si="56">IF(P$12=0,0,P70/P$12)</f>
        <v>0</v>
      </c>
      <c r="S70" s="1"/>
      <c r="T70" s="1">
        <f>SUM(OSRRefT22_11x_0)</f>
        <v>60</v>
      </c>
      <c r="U70" s="1"/>
      <c r="V70" s="5">
        <f t="shared" ref="V70:V80" si="57">IF(T$12=0,0,T70/T$12)</f>
        <v>1.5245451773554222E-3</v>
      </c>
      <c r="W70" s="1"/>
      <c r="X70" s="1">
        <f t="shared" ref="X70:X80" si="58">+P70-T70</f>
        <v>-60</v>
      </c>
      <c r="Y70" s="1"/>
      <c r="Z70" s="5">
        <f t="shared" ref="Z70:Z80" si="59">IF(T70=0,0,X70/T70)</f>
        <v>-1</v>
      </c>
    </row>
    <row r="71" spans="1:26" s="24" customFormat="1" hidden="1" outlineLevel="2" x14ac:dyDescent="0.25">
      <c r="A71" s="29"/>
      <c r="B71" s="11" t="str">
        <f>CONCATENATE("          ", "6275", " - ", "SUBSCRIPTIONS")</f>
        <v xml:space="preserve">          6275 - SUBSCRIPTIONS</v>
      </c>
      <c r="C71" s="11"/>
      <c r="D71" s="7"/>
      <c r="E71" s="2"/>
      <c r="F71" s="6">
        <f t="shared" si="52"/>
        <v>0</v>
      </c>
      <c r="G71" s="2"/>
      <c r="H71" s="7">
        <v>30</v>
      </c>
      <c r="I71" s="2"/>
      <c r="J71" s="6">
        <f t="shared" si="53"/>
        <v>9.5791557570726099E-4</v>
      </c>
      <c r="K71" s="2"/>
      <c r="L71" s="7">
        <f t="shared" si="54"/>
        <v>-30</v>
      </c>
      <c r="M71" s="2"/>
      <c r="N71" s="6">
        <f t="shared" si="55"/>
        <v>-1</v>
      </c>
      <c r="O71" s="11"/>
      <c r="P71" s="7"/>
      <c r="Q71" s="2"/>
      <c r="R71" s="6">
        <f t="shared" si="56"/>
        <v>0</v>
      </c>
      <c r="S71" s="2"/>
      <c r="T71" s="7">
        <v>60</v>
      </c>
      <c r="U71" s="2"/>
      <c r="V71" s="6">
        <f t="shared" si="57"/>
        <v>1.5245451773554222E-3</v>
      </c>
      <c r="W71" s="2"/>
      <c r="X71" s="7">
        <f t="shared" si="58"/>
        <v>-60</v>
      </c>
      <c r="Y71" s="2"/>
      <c r="Z71" s="6">
        <f t="shared" si="59"/>
        <v>-1</v>
      </c>
    </row>
    <row r="72" spans="1:26" s="28" customFormat="1" outlineLevel="1" collapsed="1" x14ac:dyDescent="0.25">
      <c r="A72" s="27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SUM(OSRRefD22_12x_0)</f>
        <v>711.2</v>
      </c>
      <c r="E72" s="1"/>
      <c r="F72" s="5">
        <f t="shared" si="52"/>
        <v>1.0800105267617712E-2</v>
      </c>
      <c r="G72" s="1"/>
      <c r="H72" s="1">
        <f>SUM(OSRRefH22_12x_0)</f>
        <v>575</v>
      </c>
      <c r="I72" s="1"/>
      <c r="J72" s="5">
        <f t="shared" si="53"/>
        <v>1.8360048534389169E-2</v>
      </c>
      <c r="K72" s="1"/>
      <c r="L72" s="1">
        <f t="shared" si="54"/>
        <v>136.20000000000005</v>
      </c>
      <c r="M72" s="1"/>
      <c r="N72" s="5">
        <f t="shared" si="55"/>
        <v>0.23686956521739139</v>
      </c>
      <c r="O72" s="14"/>
      <c r="P72" s="1">
        <f>SUM(OSRRefP22_12x_0)</f>
        <v>1639.72</v>
      </c>
      <c r="Q72" s="1"/>
      <c r="R72" s="5">
        <f t="shared" si="56"/>
        <v>2.0190124948961975E-2</v>
      </c>
      <c r="S72" s="1"/>
      <c r="T72" s="1">
        <f>SUM(OSRRefT22_12x_0)</f>
        <v>2750</v>
      </c>
      <c r="U72" s="1"/>
      <c r="V72" s="5">
        <f t="shared" si="57"/>
        <v>6.9874987295456853E-2</v>
      </c>
      <c r="W72" s="1"/>
      <c r="X72" s="1">
        <f t="shared" si="58"/>
        <v>-1110.28</v>
      </c>
      <c r="Y72" s="1"/>
      <c r="Z72" s="5">
        <f t="shared" si="59"/>
        <v>-0.40373818181818183</v>
      </c>
    </row>
    <row r="73" spans="1:26" s="24" customFormat="1" hidden="1" outlineLevel="2" x14ac:dyDescent="0.25">
      <c r="A73" s="29"/>
      <c r="B73" s="11" t="str">
        <f>CONCATENATE("          ", "6235", " - ", "COVID-19 EXPENSES")</f>
        <v xml:space="preserve">          6235 - COVID-19 EXPENSES</v>
      </c>
      <c r="C73" s="11"/>
      <c r="D73" s="7">
        <v>193.5</v>
      </c>
      <c r="E73" s="2"/>
      <c r="F73" s="6">
        <f t="shared" si="52"/>
        <v>2.9384425889820405E-3</v>
      </c>
      <c r="G73" s="2"/>
      <c r="H73" s="7">
        <v>75</v>
      </c>
      <c r="I73" s="2"/>
      <c r="J73" s="6">
        <f t="shared" si="53"/>
        <v>2.3947889392681525E-3</v>
      </c>
      <c r="K73" s="2"/>
      <c r="L73" s="7">
        <f t="shared" si="54"/>
        <v>118.5</v>
      </c>
      <c r="M73" s="2"/>
      <c r="N73" s="6">
        <f t="shared" si="55"/>
        <v>1.58</v>
      </c>
      <c r="O73" s="11"/>
      <c r="P73" s="7">
        <v>193.5</v>
      </c>
      <c r="Q73" s="2"/>
      <c r="R73" s="6">
        <f t="shared" si="56"/>
        <v>2.3825953075062461E-3</v>
      </c>
      <c r="S73" s="2"/>
      <c r="T73" s="7">
        <v>400</v>
      </c>
      <c r="U73" s="2"/>
      <c r="V73" s="6">
        <f t="shared" si="57"/>
        <v>1.0163634515702815E-2</v>
      </c>
      <c r="W73" s="2"/>
      <c r="X73" s="7">
        <f t="shared" si="58"/>
        <v>-206.5</v>
      </c>
      <c r="Y73" s="2"/>
      <c r="Z73" s="6">
        <f t="shared" si="59"/>
        <v>-0.51624999999999999</v>
      </c>
    </row>
    <row r="74" spans="1:26" s="24" customFormat="1" hidden="1" outlineLevel="2" x14ac:dyDescent="0.25">
      <c r="A74" s="29"/>
      <c r="B74" s="11" t="str">
        <f>CONCATENATE("          ", "6237", " - ", "JANITORIAL SUPPLIES")</f>
        <v xml:space="preserve">          6237 - JANITORIAL SUPPLIES</v>
      </c>
      <c r="C74" s="11"/>
      <c r="D74" s="7"/>
      <c r="E74" s="2"/>
      <c r="F74" s="6">
        <f t="shared" si="52"/>
        <v>0</v>
      </c>
      <c r="G74" s="2"/>
      <c r="H74" s="7">
        <v>250</v>
      </c>
      <c r="I74" s="2"/>
      <c r="J74" s="6">
        <f t="shared" si="53"/>
        <v>7.9826297975605087E-3</v>
      </c>
      <c r="K74" s="2"/>
      <c r="L74" s="7">
        <f t="shared" si="54"/>
        <v>-250</v>
      </c>
      <c r="M74" s="2"/>
      <c r="N74" s="6">
        <f t="shared" si="55"/>
        <v>-1</v>
      </c>
      <c r="O74" s="11"/>
      <c r="P74" s="7">
        <v>48.12</v>
      </c>
      <c r="Q74" s="2"/>
      <c r="R74" s="6">
        <f t="shared" si="56"/>
        <v>5.9250897259535175E-4</v>
      </c>
      <c r="S74" s="2"/>
      <c r="T74" s="7">
        <v>250</v>
      </c>
      <c r="U74" s="2"/>
      <c r="V74" s="6">
        <f t="shared" si="57"/>
        <v>6.3522715723142598E-3</v>
      </c>
      <c r="W74" s="2"/>
      <c r="X74" s="7">
        <f t="shared" si="58"/>
        <v>-201.88</v>
      </c>
      <c r="Y74" s="2"/>
      <c r="Z74" s="6">
        <f t="shared" si="59"/>
        <v>-0.80752000000000002</v>
      </c>
    </row>
    <row r="75" spans="1:26" s="24" customFormat="1" hidden="1" outlineLevel="2" x14ac:dyDescent="0.25">
      <c r="A75" s="29"/>
      <c r="B75" s="11" t="str">
        <f>CONCATENATE("          ", "6239", " - ", "KITCHEN SUPPLIES")</f>
        <v xml:space="preserve">          6239 - KITCHEN SUPPLIES</v>
      </c>
      <c r="C75" s="11"/>
      <c r="D75" s="7">
        <v>83.36</v>
      </c>
      <c r="E75" s="2"/>
      <c r="F75" s="6">
        <f t="shared" si="52"/>
        <v>1.2658841044834257E-3</v>
      </c>
      <c r="G75" s="2"/>
      <c r="H75" s="7"/>
      <c r="I75" s="2"/>
      <c r="J75" s="6">
        <f t="shared" si="53"/>
        <v>0</v>
      </c>
      <c r="K75" s="2"/>
      <c r="L75" s="7">
        <f t="shared" si="54"/>
        <v>83.36</v>
      </c>
      <c r="M75" s="2"/>
      <c r="N75" s="6">
        <f t="shared" si="55"/>
        <v>0</v>
      </c>
      <c r="O75" s="11"/>
      <c r="P75" s="7">
        <v>83.36</v>
      </c>
      <c r="Q75" s="2"/>
      <c r="R75" s="6">
        <f t="shared" si="56"/>
        <v>1.0264245211044998E-3</v>
      </c>
      <c r="S75" s="2"/>
      <c r="T75" s="7">
        <v>100</v>
      </c>
      <c r="U75" s="2"/>
      <c r="V75" s="6">
        <f t="shared" si="57"/>
        <v>2.5409086289257038E-3</v>
      </c>
      <c r="W75" s="2"/>
      <c r="X75" s="7">
        <f t="shared" si="58"/>
        <v>-16.64</v>
      </c>
      <c r="Y75" s="2"/>
      <c r="Z75" s="6">
        <f t="shared" si="59"/>
        <v>-0.16639999999999999</v>
      </c>
    </row>
    <row r="76" spans="1:26" s="24" customFormat="1" hidden="1" outlineLevel="2" x14ac:dyDescent="0.25">
      <c r="A76" s="29"/>
      <c r="B76" s="11" t="str">
        <f>CONCATENATE("          ", "6241", " - ", "OFFICE EXPENSE")</f>
        <v xml:space="preserve">          6241 - OFFICE EXPENSE</v>
      </c>
      <c r="C76" s="11"/>
      <c r="D76" s="7">
        <v>169.8</v>
      </c>
      <c r="E76" s="2"/>
      <c r="F76" s="6">
        <f t="shared" si="52"/>
        <v>2.5785403183935427E-3</v>
      </c>
      <c r="G76" s="2"/>
      <c r="H76" s="7"/>
      <c r="I76" s="2"/>
      <c r="J76" s="6">
        <f t="shared" si="53"/>
        <v>0</v>
      </c>
      <c r="K76" s="2"/>
      <c r="L76" s="7">
        <f t="shared" si="54"/>
        <v>169.8</v>
      </c>
      <c r="M76" s="2"/>
      <c r="N76" s="6">
        <f t="shared" si="55"/>
        <v>0</v>
      </c>
      <c r="O76" s="11"/>
      <c r="P76" s="7">
        <v>850.2</v>
      </c>
      <c r="Q76" s="2"/>
      <c r="R76" s="6">
        <f t="shared" si="56"/>
        <v>1.0468643568174733E-2</v>
      </c>
      <c r="S76" s="2"/>
      <c r="T76" s="7">
        <v>50</v>
      </c>
      <c r="U76" s="2"/>
      <c r="V76" s="6">
        <f t="shared" si="57"/>
        <v>1.2704543144628519E-3</v>
      </c>
      <c r="W76" s="2"/>
      <c r="X76" s="7">
        <f t="shared" si="58"/>
        <v>800.2</v>
      </c>
      <c r="Y76" s="2"/>
      <c r="Z76" s="6">
        <f t="shared" si="59"/>
        <v>16.004000000000001</v>
      </c>
    </row>
    <row r="77" spans="1:26" s="24" customFormat="1" hidden="1" outlineLevel="2" x14ac:dyDescent="0.25">
      <c r="A77" s="29"/>
      <c r="B77" s="11" t="str">
        <f>CONCATENATE("          ", "6243", " - ", "PAPER SUPPLIES")</f>
        <v xml:space="preserve">          6243 - PAPER SUPPLIES</v>
      </c>
      <c r="C77" s="11"/>
      <c r="D77" s="7">
        <v>50.56</v>
      </c>
      <c r="E77" s="2"/>
      <c r="F77" s="6">
        <f t="shared" si="52"/>
        <v>7.6779151058879573E-4</v>
      </c>
      <c r="G77" s="2"/>
      <c r="H77" s="7">
        <v>200</v>
      </c>
      <c r="I77" s="2"/>
      <c r="J77" s="6">
        <f t="shared" si="53"/>
        <v>6.3861038380484065E-3</v>
      </c>
      <c r="K77" s="2"/>
      <c r="L77" s="7">
        <f t="shared" si="54"/>
        <v>-149.44</v>
      </c>
      <c r="M77" s="2"/>
      <c r="N77" s="6">
        <f t="shared" si="55"/>
        <v>-0.74719999999999998</v>
      </c>
      <c r="O77" s="11"/>
      <c r="P77" s="7">
        <v>50.56</v>
      </c>
      <c r="Q77" s="2"/>
      <c r="R77" s="6">
        <f t="shared" si="56"/>
        <v>6.2255306846261402E-4</v>
      </c>
      <c r="S77" s="2"/>
      <c r="T77" s="7">
        <v>700</v>
      </c>
      <c r="U77" s="2"/>
      <c r="V77" s="6">
        <f t="shared" si="57"/>
        <v>1.7786360402479925E-2</v>
      </c>
      <c r="W77" s="2"/>
      <c r="X77" s="7">
        <f t="shared" si="58"/>
        <v>-649.44000000000005</v>
      </c>
      <c r="Y77" s="2"/>
      <c r="Z77" s="6">
        <f t="shared" si="59"/>
        <v>-0.92777142857142869</v>
      </c>
    </row>
    <row r="78" spans="1:26" s="24" customFormat="1" hidden="1" outlineLevel="2" x14ac:dyDescent="0.25">
      <c r="A78" s="29"/>
      <c r="B78" s="11" t="str">
        <f>CONCATENATE("          ", "6245", " - ", "PRINTING")</f>
        <v xml:space="preserve">          6245 - PRINTING</v>
      </c>
      <c r="C78" s="11"/>
      <c r="D78" s="7"/>
      <c r="E78" s="2"/>
      <c r="F78" s="6">
        <f t="shared" si="52"/>
        <v>0</v>
      </c>
      <c r="G78" s="2"/>
      <c r="H78" s="7">
        <v>50</v>
      </c>
      <c r="I78" s="2"/>
      <c r="J78" s="6">
        <f t="shared" si="53"/>
        <v>1.5965259595121016E-3</v>
      </c>
      <c r="K78" s="2"/>
      <c r="L78" s="7">
        <f t="shared" si="54"/>
        <v>-50</v>
      </c>
      <c r="M78" s="2"/>
      <c r="N78" s="6">
        <f t="shared" si="55"/>
        <v>-1</v>
      </c>
      <c r="O78" s="11"/>
      <c r="P78" s="7"/>
      <c r="Q78" s="2"/>
      <c r="R78" s="6">
        <f t="shared" si="56"/>
        <v>0</v>
      </c>
      <c r="S78" s="2"/>
      <c r="T78" s="7">
        <v>450</v>
      </c>
      <c r="U78" s="2"/>
      <c r="V78" s="6">
        <f t="shared" si="57"/>
        <v>1.1434088830165667E-2</v>
      </c>
      <c r="W78" s="2"/>
      <c r="X78" s="7">
        <f t="shared" si="58"/>
        <v>-450</v>
      </c>
      <c r="Y78" s="2"/>
      <c r="Z78" s="6">
        <f t="shared" si="59"/>
        <v>-1</v>
      </c>
    </row>
    <row r="79" spans="1:26" s="24" customFormat="1" hidden="1" outlineLevel="2" x14ac:dyDescent="0.25">
      <c r="A79" s="29"/>
      <c r="B79" s="11" t="str">
        <f>CONCATENATE("          ", "6247", " - ", "STORE SUPPLIES")</f>
        <v xml:space="preserve">          6247 - STORE SUPPLIES</v>
      </c>
      <c r="C79" s="11"/>
      <c r="D79" s="7">
        <v>213.98</v>
      </c>
      <c r="E79" s="2"/>
      <c r="F79" s="6">
        <f t="shared" si="52"/>
        <v>3.2494467451699067E-3</v>
      </c>
      <c r="G79" s="2"/>
      <c r="H79" s="7"/>
      <c r="I79" s="2"/>
      <c r="J79" s="6">
        <f t="shared" si="53"/>
        <v>0</v>
      </c>
      <c r="K79" s="2"/>
      <c r="L79" s="7">
        <f t="shared" si="54"/>
        <v>213.98</v>
      </c>
      <c r="M79" s="2"/>
      <c r="N79" s="6">
        <f t="shared" si="55"/>
        <v>0</v>
      </c>
      <c r="O79" s="11"/>
      <c r="P79" s="7">
        <v>413.98</v>
      </c>
      <c r="Q79" s="2"/>
      <c r="R79" s="6">
        <f t="shared" si="56"/>
        <v>5.0973995111185319E-3</v>
      </c>
      <c r="S79" s="2"/>
      <c r="T79" s="7"/>
      <c r="U79" s="2"/>
      <c r="V79" s="6">
        <f t="shared" si="57"/>
        <v>0</v>
      </c>
      <c r="W79" s="2"/>
      <c r="X79" s="7">
        <f t="shared" si="58"/>
        <v>413.98</v>
      </c>
      <c r="Y79" s="2"/>
      <c r="Z79" s="6">
        <f t="shared" si="59"/>
        <v>0</v>
      </c>
    </row>
    <row r="80" spans="1:26" s="24" customFormat="1" hidden="1" outlineLevel="2" x14ac:dyDescent="0.25">
      <c r="A80" s="29"/>
      <c r="B80" s="11" t="str">
        <f>CONCATENATE("          ", "6248", " - ", "UNIFORMS")</f>
        <v xml:space="preserve">          6248 - UNIFORMS</v>
      </c>
      <c r="C80" s="11"/>
      <c r="D80" s="7"/>
      <c r="E80" s="2"/>
      <c r="F80" s="6">
        <f t="shared" si="52"/>
        <v>0</v>
      </c>
      <c r="G80" s="2"/>
      <c r="H80" s="7"/>
      <c r="I80" s="2"/>
      <c r="J80" s="6">
        <f t="shared" si="53"/>
        <v>0</v>
      </c>
      <c r="K80" s="2"/>
      <c r="L80" s="7">
        <f t="shared" si="54"/>
        <v>0</v>
      </c>
      <c r="M80" s="2"/>
      <c r="N80" s="6">
        <f t="shared" si="55"/>
        <v>0</v>
      </c>
      <c r="O80" s="11"/>
      <c r="P80" s="7"/>
      <c r="Q80" s="2"/>
      <c r="R80" s="6">
        <f t="shared" si="56"/>
        <v>0</v>
      </c>
      <c r="S80" s="2"/>
      <c r="T80" s="7">
        <v>800</v>
      </c>
      <c r="U80" s="2"/>
      <c r="V80" s="6">
        <f t="shared" si="57"/>
        <v>2.032726903140563E-2</v>
      </c>
      <c r="W80" s="2"/>
      <c r="X80" s="7">
        <f t="shared" si="58"/>
        <v>-800</v>
      </c>
      <c r="Y80" s="2"/>
      <c r="Z80" s="6">
        <f t="shared" si="59"/>
        <v>-1</v>
      </c>
    </row>
    <row r="81" spans="1:26" s="28" customFormat="1" outlineLevel="1" collapsed="1" x14ac:dyDescent="0.25">
      <c r="A81" s="27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SUM(OSRRefD22_13x_0)</f>
        <v>75</v>
      </c>
      <c r="E81" s="1"/>
      <c r="F81" s="5">
        <f t="shared" ref="F81:F86" si="60">IF(D$12=0,0,D81/D$12)</f>
        <v>1.1389312360395505E-3</v>
      </c>
      <c r="G81" s="1"/>
      <c r="H81" s="1">
        <f>SUM(OSRRefH22_13x_0)</f>
        <v>150</v>
      </c>
      <c r="I81" s="1"/>
      <c r="J81" s="5">
        <f t="shared" ref="J81:J86" si="61">IF(H$12=0,0,H81/H$12)</f>
        <v>4.7895778785363051E-3</v>
      </c>
      <c r="K81" s="1"/>
      <c r="L81" s="1">
        <f t="shared" ref="L81:L86" si="62">+D81-H81</f>
        <v>-75</v>
      </c>
      <c r="M81" s="1"/>
      <c r="N81" s="5">
        <f t="shared" ref="N81:N86" si="63">IF(H81=0,0,L81/H81)</f>
        <v>-0.5</v>
      </c>
      <c r="O81" s="14"/>
      <c r="P81" s="1">
        <f>SUM(OSRRefP22_13x_0)</f>
        <v>375</v>
      </c>
      <c r="Q81" s="1"/>
      <c r="R81" s="5">
        <f t="shared" ref="R81:R86" si="64">IF(P$12=0,0,P81/P$12)</f>
        <v>4.617432766484973E-3</v>
      </c>
      <c r="S81" s="1"/>
      <c r="T81" s="1">
        <f>SUM(OSRRefT22_13x_0)</f>
        <v>450</v>
      </c>
      <c r="U81" s="1"/>
      <c r="V81" s="5">
        <f t="shared" ref="V81:V86" si="65">IF(T$12=0,0,T81/T$12)</f>
        <v>1.1434088830165667E-2</v>
      </c>
      <c r="W81" s="1"/>
      <c r="X81" s="1">
        <f t="shared" ref="X81:X86" si="66">+P81-T81</f>
        <v>-75</v>
      </c>
      <c r="Y81" s="1"/>
      <c r="Z81" s="5">
        <f t="shared" ref="Z81:Z86" si="67">IF(T81=0,0,X81/T81)</f>
        <v>-0.16666666666666666</v>
      </c>
    </row>
    <row r="82" spans="1:26" s="24" customFormat="1" hidden="1" outlineLevel="2" x14ac:dyDescent="0.25">
      <c r="A82" s="29"/>
      <c r="B82" s="11" t="str">
        <f>CONCATENATE("          ", "6309", " - ", "TELEPHONE")</f>
        <v xml:space="preserve">          6309 - TELEPHONE</v>
      </c>
      <c r="C82" s="11"/>
      <c r="D82" s="7">
        <v>75</v>
      </c>
      <c r="E82" s="2"/>
      <c r="F82" s="6">
        <f t="shared" si="60"/>
        <v>1.1389312360395505E-3</v>
      </c>
      <c r="G82" s="2"/>
      <c r="H82" s="7">
        <v>150</v>
      </c>
      <c r="I82" s="2"/>
      <c r="J82" s="6">
        <f t="shared" si="61"/>
        <v>4.7895778785363051E-3</v>
      </c>
      <c r="K82" s="2"/>
      <c r="L82" s="7">
        <f t="shared" si="62"/>
        <v>-75</v>
      </c>
      <c r="M82" s="2"/>
      <c r="N82" s="6">
        <f t="shared" si="63"/>
        <v>-0.5</v>
      </c>
      <c r="O82" s="11"/>
      <c r="P82" s="7">
        <v>375</v>
      </c>
      <c r="Q82" s="2"/>
      <c r="R82" s="6">
        <f t="shared" si="64"/>
        <v>4.617432766484973E-3</v>
      </c>
      <c r="S82" s="2"/>
      <c r="T82" s="7">
        <v>450</v>
      </c>
      <c r="U82" s="2"/>
      <c r="V82" s="6">
        <f t="shared" si="65"/>
        <v>1.1434088830165667E-2</v>
      </c>
      <c r="W82" s="2"/>
      <c r="X82" s="7">
        <f t="shared" si="66"/>
        <v>-75</v>
      </c>
      <c r="Y82" s="2"/>
      <c r="Z82" s="6">
        <f t="shared" si="67"/>
        <v>-0.16666666666666666</v>
      </c>
    </row>
    <row r="83" spans="1:26" s="28" customFormat="1" outlineLevel="1" collapsed="1" x14ac:dyDescent="0.25">
      <c r="A83" s="27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SUM(OSRRefD22_14x_0)</f>
        <v>0</v>
      </c>
      <c r="E83" s="1"/>
      <c r="F83" s="5">
        <f t="shared" si="60"/>
        <v>0</v>
      </c>
      <c r="G83" s="1"/>
      <c r="H83" s="1">
        <f>SUM(OSRRefH22_14x_0)</f>
        <v>200</v>
      </c>
      <c r="I83" s="1"/>
      <c r="J83" s="5">
        <f t="shared" si="61"/>
        <v>6.3861038380484065E-3</v>
      </c>
      <c r="K83" s="1"/>
      <c r="L83" s="1">
        <f t="shared" si="62"/>
        <v>-200</v>
      </c>
      <c r="M83" s="1"/>
      <c r="N83" s="5">
        <f t="shared" si="63"/>
        <v>-1</v>
      </c>
      <c r="O83" s="14"/>
      <c r="P83" s="1">
        <f>SUM(OSRRefP22_14x_0)</f>
        <v>0</v>
      </c>
      <c r="Q83" s="1"/>
      <c r="R83" s="5">
        <f t="shared" si="64"/>
        <v>0</v>
      </c>
      <c r="S83" s="1"/>
      <c r="T83" s="1">
        <f>SUM(OSRRefT22_14x_0)</f>
        <v>200</v>
      </c>
      <c r="U83" s="1"/>
      <c r="V83" s="5">
        <f t="shared" si="65"/>
        <v>5.0818172578514075E-3</v>
      </c>
      <c r="W83" s="1"/>
      <c r="X83" s="1">
        <f t="shared" si="66"/>
        <v>-200</v>
      </c>
      <c r="Y83" s="1"/>
      <c r="Z83" s="5">
        <f t="shared" si="67"/>
        <v>-1</v>
      </c>
    </row>
    <row r="84" spans="1:26" s="24" customFormat="1" hidden="1" outlineLevel="2" x14ac:dyDescent="0.25">
      <c r="A84" s="29"/>
      <c r="B84" s="11" t="str">
        <f>CONCATENATE("          ", "6376", " - ", "TRAINING")</f>
        <v xml:space="preserve">          6376 - TRAINING</v>
      </c>
      <c r="C84" s="11"/>
      <c r="D84" s="7"/>
      <c r="E84" s="2"/>
      <c r="F84" s="6">
        <f t="shared" si="60"/>
        <v>0</v>
      </c>
      <c r="G84" s="2"/>
      <c r="H84" s="7">
        <v>200</v>
      </c>
      <c r="I84" s="2"/>
      <c r="J84" s="6">
        <f t="shared" si="61"/>
        <v>6.3861038380484065E-3</v>
      </c>
      <c r="K84" s="2"/>
      <c r="L84" s="7">
        <f t="shared" si="62"/>
        <v>-200</v>
      </c>
      <c r="M84" s="2"/>
      <c r="N84" s="6">
        <f t="shared" si="63"/>
        <v>-1</v>
      </c>
      <c r="O84" s="11"/>
      <c r="P84" s="7"/>
      <c r="Q84" s="2"/>
      <c r="R84" s="6">
        <f t="shared" si="64"/>
        <v>0</v>
      </c>
      <c r="S84" s="2"/>
      <c r="T84" s="7">
        <v>200</v>
      </c>
      <c r="U84" s="2"/>
      <c r="V84" s="6">
        <f t="shared" si="65"/>
        <v>5.0818172578514075E-3</v>
      </c>
      <c r="W84" s="2"/>
      <c r="X84" s="7">
        <f t="shared" si="66"/>
        <v>-200</v>
      </c>
      <c r="Y84" s="2"/>
      <c r="Z84" s="6">
        <f t="shared" si="67"/>
        <v>-1</v>
      </c>
    </row>
    <row r="85" spans="1:26" s="28" customFormat="1" outlineLevel="1" collapsed="1" x14ac:dyDescent="0.25">
      <c r="A85" s="27"/>
      <c r="B85" s="14" t="str">
        <f>CONCATENATE("     ","Utilities                                         ")</f>
        <v xml:space="preserve">     Utilities                                         </v>
      </c>
      <c r="C85" s="14"/>
      <c r="D85" s="1">
        <f>SUM(OSRRefD22_15x_0)</f>
        <v>200</v>
      </c>
      <c r="E85" s="1"/>
      <c r="F85" s="5">
        <f t="shared" si="60"/>
        <v>3.0371499627721349E-3</v>
      </c>
      <c r="G85" s="1"/>
      <c r="H85" s="1">
        <f>SUM(OSRRefH22_15x_0)</f>
        <v>200</v>
      </c>
      <c r="I85" s="1"/>
      <c r="J85" s="5">
        <f t="shared" si="61"/>
        <v>6.3861038380484065E-3</v>
      </c>
      <c r="K85" s="1"/>
      <c r="L85" s="1">
        <f t="shared" si="62"/>
        <v>0</v>
      </c>
      <c r="M85" s="1"/>
      <c r="N85" s="5">
        <f t="shared" si="63"/>
        <v>0</v>
      </c>
      <c r="O85" s="14"/>
      <c r="P85" s="1">
        <f>SUM(OSRRefP22_15x_0)</f>
        <v>600</v>
      </c>
      <c r="Q85" s="1"/>
      <c r="R85" s="5">
        <f t="shared" si="64"/>
        <v>7.3878924263759572E-3</v>
      </c>
      <c r="S85" s="1"/>
      <c r="T85" s="1">
        <f>SUM(OSRRefT22_15x_0)</f>
        <v>600</v>
      </c>
      <c r="U85" s="1"/>
      <c r="V85" s="5">
        <f t="shared" si="65"/>
        <v>1.5245451773554223E-2</v>
      </c>
      <c r="W85" s="1"/>
      <c r="X85" s="1">
        <f t="shared" si="66"/>
        <v>0</v>
      </c>
      <c r="Y85" s="1"/>
      <c r="Z85" s="5">
        <f t="shared" si="67"/>
        <v>0</v>
      </c>
    </row>
    <row r="86" spans="1:26" s="24" customFormat="1" hidden="1" outlineLevel="2" x14ac:dyDescent="0.25">
      <c r="A86" s="29"/>
      <c r="B86" s="11" t="str">
        <f>CONCATENATE("          ", "6274", " - ", "UTILITIES")</f>
        <v xml:space="preserve">          6274 - UTILITIES</v>
      </c>
      <c r="C86" s="11"/>
      <c r="D86" s="7">
        <v>200</v>
      </c>
      <c r="E86" s="2"/>
      <c r="F86" s="6">
        <f t="shared" si="60"/>
        <v>3.0371499627721349E-3</v>
      </c>
      <c r="G86" s="2"/>
      <c r="H86" s="7">
        <v>200</v>
      </c>
      <c r="I86" s="2"/>
      <c r="J86" s="6">
        <f t="shared" si="61"/>
        <v>6.3861038380484065E-3</v>
      </c>
      <c r="K86" s="2"/>
      <c r="L86" s="7">
        <f t="shared" si="62"/>
        <v>0</v>
      </c>
      <c r="M86" s="2"/>
      <c r="N86" s="6">
        <f t="shared" si="63"/>
        <v>0</v>
      </c>
      <c r="O86" s="11"/>
      <c r="P86" s="7">
        <v>600</v>
      </c>
      <c r="Q86" s="2"/>
      <c r="R86" s="6">
        <f t="shared" si="64"/>
        <v>7.3878924263759572E-3</v>
      </c>
      <c r="S86" s="2"/>
      <c r="T86" s="7">
        <v>600</v>
      </c>
      <c r="U86" s="2"/>
      <c r="V86" s="6">
        <f t="shared" si="65"/>
        <v>1.5245451773554223E-2</v>
      </c>
      <c r="W86" s="2"/>
      <c r="X86" s="7">
        <f t="shared" si="66"/>
        <v>0</v>
      </c>
      <c r="Y86" s="2"/>
      <c r="Z86" s="6">
        <f t="shared" si="67"/>
        <v>0</v>
      </c>
    </row>
    <row r="87" spans="1:26" s="58" customFormat="1" x14ac:dyDescent="0.25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25">
      <c r="A88" s="10"/>
      <c r="B88" s="26" t="s">
        <v>293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5" t="s">
        <v>277</v>
      </c>
      <c r="C90" s="25"/>
      <c r="D90" s="21">
        <f>+D23-D25+D88</f>
        <v>3841.8999999999869</v>
      </c>
      <c r="E90" s="13"/>
      <c r="F90" s="20">
        <f>IF(D$12=0,0,D90/D$12)</f>
        <v>5.8342132209871125E-2</v>
      </c>
      <c r="G90" s="13"/>
      <c r="H90" s="21">
        <f>+H23-H25+H88</f>
        <v>-15041.074307692303</v>
      </c>
      <c r="I90" s="13"/>
      <c r="J90" s="20">
        <f>IF(H$12=0,0,H90/H$12)</f>
        <v>-0.48026931182362548</v>
      </c>
      <c r="K90" s="16"/>
      <c r="L90" s="21">
        <f>+D90-H90</f>
        <v>18882.97430769229</v>
      </c>
      <c r="M90" s="16"/>
      <c r="N90" s="20">
        <f>IF(H90=0,0,L90/H90)</f>
        <v>-1.2554272335477501</v>
      </c>
      <c r="O90" s="26"/>
      <c r="P90" s="21">
        <f>+P23-P25+P88</f>
        <v>-29119.049999999967</v>
      </c>
      <c r="Q90" s="13"/>
      <c r="R90" s="20">
        <f>IF(P$12=0,0,P90/P$12)</f>
        <v>-0.35854734826377094</v>
      </c>
      <c r="S90" s="13"/>
      <c r="T90" s="21">
        <f>+T23-T25+T88</f>
        <v>-58447.016369999998</v>
      </c>
      <c r="U90" s="13"/>
      <c r="V90" s="20">
        <f>IF(T$12=0,0,T90/T$12)</f>
        <v>-1.4850852822949485</v>
      </c>
      <c r="W90" s="16"/>
      <c r="X90" s="21">
        <f>+P90-T90</f>
        <v>29327.966370000031</v>
      </c>
      <c r="Y90" s="16"/>
      <c r="Z90" s="20">
        <f>IF(T90=0,0,X90/T90)</f>
        <v>-0.50178722869853198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2"/>
      <c r="B92" s="10" t="s">
        <v>128</v>
      </c>
      <c r="C92" s="10"/>
      <c r="D92" s="4">
        <v>7756.61</v>
      </c>
      <c r="E92" s="4"/>
      <c r="F92" s="12">
        <f>IF(D$12=0,0,D92/D$12)</f>
        <v>0.11778993886368984</v>
      </c>
      <c r="G92" s="4"/>
      <c r="H92" s="4">
        <v>3373</v>
      </c>
      <c r="I92" s="4"/>
      <c r="J92" s="12">
        <f>IF(H$12=0,0,H92/H$12)</f>
        <v>0.10770164122868638</v>
      </c>
      <c r="K92" s="4"/>
      <c r="L92" s="4">
        <f>+D92-H92</f>
        <v>4383.6099999999997</v>
      </c>
      <c r="M92" s="4"/>
      <c r="N92" s="12">
        <f>IF(H92=0,0,L92/H92)</f>
        <v>1.299617551141417</v>
      </c>
      <c r="O92" s="10"/>
      <c r="P92" s="4">
        <v>10052.31</v>
      </c>
      <c r="Q92" s="4"/>
      <c r="R92" s="12">
        <f>IF(P$12=0,0,P92/P$12)</f>
        <v>0.12377564152763883</v>
      </c>
      <c r="S92" s="4"/>
      <c r="T92" s="4">
        <v>4273</v>
      </c>
      <c r="U92" s="4"/>
      <c r="V92" s="12">
        <f>IF(T$12=0,0,T92/T$12)</f>
        <v>0.10857302571399532</v>
      </c>
      <c r="W92" s="4"/>
      <c r="X92" s="4">
        <f>+P92-T92</f>
        <v>5779.3099999999995</v>
      </c>
      <c r="Y92" s="4"/>
      <c r="Z92" s="12">
        <f>IF(T92=0,0,X92/T92)</f>
        <v>1.3525181371401824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5" t="s">
        <v>126</v>
      </c>
      <c r="C94" s="25"/>
      <c r="D94" s="33">
        <f>+D90-D92</f>
        <v>-3914.7100000000128</v>
      </c>
      <c r="E94" s="13"/>
      <c r="F94" s="31">
        <f>IF(D$12=0,0,D94/D$12)</f>
        <v>-5.9447806653818713E-2</v>
      </c>
      <c r="G94" s="13"/>
      <c r="H94" s="33">
        <f>+H90-H92</f>
        <v>-18414.074307692303</v>
      </c>
      <c r="I94" s="13"/>
      <c r="J94" s="31">
        <f>IF(H$12=0,0,H94/H$12)</f>
        <v>-0.58797095305231184</v>
      </c>
      <c r="K94" s="16"/>
      <c r="L94" s="33">
        <f>D94-H94</f>
        <v>14499.364307692289</v>
      </c>
      <c r="M94" s="16"/>
      <c r="N94" s="31">
        <f>IF(H94=0,0,L94/H94)</f>
        <v>-0.78740663610960437</v>
      </c>
      <c r="O94" s="26"/>
      <c r="P94" s="33">
        <f>+P90-P92</f>
        <v>-39171.359999999964</v>
      </c>
      <c r="Q94" s="13"/>
      <c r="R94" s="31">
        <f>IF(P$12=0,0,P94/P$12)</f>
        <v>-0.48232298979140975</v>
      </c>
      <c r="S94" s="13"/>
      <c r="T94" s="33">
        <f>+T90-T92</f>
        <v>-62720.016369999998</v>
      </c>
      <c r="U94" s="13"/>
      <c r="V94" s="31">
        <f>IF(T$12=0,0,T94/T$12)</f>
        <v>-1.5936583080089439</v>
      </c>
      <c r="W94" s="16"/>
      <c r="X94" s="33">
        <f>P94-T94</f>
        <v>23548.656370000033</v>
      </c>
      <c r="Y94" s="16"/>
      <c r="Z94" s="31">
        <f>IF(T94=0,0,X94/T94)</f>
        <v>-0.37545679565963469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5" t="s">
        <v>294</v>
      </c>
      <c r="C97" s="25"/>
      <c r="D97" s="35">
        <f>SUM(D94:D96)</f>
        <v>-3914.7100000000128</v>
      </c>
      <c r="E97" s="13"/>
      <c r="F97" s="34">
        <f>IF(D$12=0,0,D97/D$12)</f>
        <v>-5.9447806653818713E-2</v>
      </c>
      <c r="G97" s="13"/>
      <c r="H97" s="35">
        <f>SUM(H94:H96)</f>
        <v>-18414.074307692303</v>
      </c>
      <c r="I97" s="13"/>
      <c r="J97" s="34">
        <f>IF(H$12=0,0,H97/H$12)</f>
        <v>-0.58797095305231184</v>
      </c>
      <c r="K97" s="16"/>
      <c r="L97" s="35">
        <f>+D97-H97</f>
        <v>14499.364307692289</v>
      </c>
      <c r="M97" s="16"/>
      <c r="N97" s="34">
        <f>IF(H97=0,0,L97/H97)</f>
        <v>-0.78740663610960437</v>
      </c>
      <c r="O97" s="26"/>
      <c r="P97" s="35">
        <f>SUM(P94:P96)</f>
        <v>-39171.359999999964</v>
      </c>
      <c r="Q97" s="13"/>
      <c r="R97" s="34">
        <f>IF(P$12=0,0,P97/P$12)</f>
        <v>-0.48232298979140975</v>
      </c>
      <c r="S97" s="13"/>
      <c r="T97" s="35">
        <f>SUM(T94:T96)</f>
        <v>-62720.016369999998</v>
      </c>
      <c r="U97" s="13"/>
      <c r="V97" s="34">
        <f>IF(T$12=0,0,T97/T$12)</f>
        <v>-1.5936583080089439</v>
      </c>
      <c r="W97" s="16"/>
      <c r="X97" s="35">
        <f>+P97-T97</f>
        <v>23548.656370000033</v>
      </c>
      <c r="Y97" s="16"/>
      <c r="Z97" s="34">
        <f>IF(T97=0,0,X97/T97)</f>
        <v>-0.37545679565963469</v>
      </c>
    </row>
    <row r="98" spans="1:26" ht="15.75" thickTop="1" x14ac:dyDescent="0.25">
      <c r="A98" s="9"/>
      <c r="C98" s="9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6" x14ac:dyDescent="0.25">
      <c r="A99" s="9"/>
      <c r="B99" s="61">
        <v>44481.978956793981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25">
      <c r="A100" s="9"/>
      <c r="B100" s="56" t="s">
        <v>56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4"/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92D050"/>
    <outlinePr summaryBelow="0" summaryRight="0"/>
  </sheetPr>
  <dimension ref="A2:Z3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","406", " - ", "OPA! Greek")</f>
        <v>Department 406 - OPA! Greek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108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295</v>
      </c>
      <c r="C18" s="10"/>
      <c r="D18" s="22">
        <f>SUM(OSRRefD22x_0)</f>
        <v>69.290000000000006</v>
      </c>
      <c r="E18" s="22"/>
      <c r="F18" s="32">
        <f t="shared" ref="F18:F22" si="0">IF(D$12=0,0,D18/D$12)</f>
        <v>0</v>
      </c>
      <c r="G18" s="22"/>
      <c r="H18" s="22">
        <f>SUM(OSRRefH22x_0)</f>
        <v>0</v>
      </c>
      <c r="I18" s="22"/>
      <c r="J18" s="32">
        <f t="shared" ref="J18:J22" si="1">IF(H$12=0,0,H18/H$12)</f>
        <v>0</v>
      </c>
      <c r="K18" s="4"/>
      <c r="L18" s="22">
        <f t="shared" ref="L18:L22" si="2">+D18-H18</f>
        <v>69.290000000000006</v>
      </c>
      <c r="M18" s="4"/>
      <c r="N18" s="32">
        <f t="shared" ref="N18:N22" si="3">IF(H18=0,0,L18/H18)</f>
        <v>0</v>
      </c>
      <c r="O18" s="10"/>
      <c r="P18" s="22">
        <f>SUM(OSRRefP22x_0)</f>
        <v>69.290000000000006</v>
      </c>
      <c r="Q18" s="22"/>
      <c r="R18" s="32">
        <f t="shared" ref="R18:R22" si="4">IF(P$12=0,0,P18/P$12)</f>
        <v>0</v>
      </c>
      <c r="S18" s="22"/>
      <c r="T18" s="22">
        <f>SUM(OSRRefT22x_0)</f>
        <v>0</v>
      </c>
      <c r="U18" s="22"/>
      <c r="V18" s="32">
        <f t="shared" ref="V18:V22" si="5">IF(T$12=0,0,T18/T$12)</f>
        <v>0</v>
      </c>
      <c r="W18" s="4"/>
      <c r="X18" s="22">
        <f t="shared" ref="X18:X22" si="6">+P18-T18</f>
        <v>69.290000000000006</v>
      </c>
      <c r="Y18" s="4"/>
      <c r="Z18" s="32">
        <f t="shared" ref="Z18:Z22" si="7">IF(T18=0,0,X18/T18)</f>
        <v>0</v>
      </c>
    </row>
    <row r="19" spans="1:26" s="28" customFormat="1" outlineLevel="1" collapsed="1" x14ac:dyDescent="0.25">
      <c r="A19" s="27"/>
      <c r="B19" s="14" t="str">
        <f>CONCATENATE("     ","Repair and Maintenance                            ")</f>
        <v xml:space="preserve">     Repair and Maintenance                            </v>
      </c>
      <c r="C19" s="14"/>
      <c r="D19" s="1">
        <f>SUM(OSRRefD22_0x_0)</f>
        <v>69.290000000000006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69.290000000000006</v>
      </c>
      <c r="M19" s="1"/>
      <c r="N19" s="5">
        <f t="shared" si="3"/>
        <v>0</v>
      </c>
      <c r="O19" s="14"/>
      <c r="P19" s="1">
        <f>SUM(OSRRefP22_0x_0)</f>
        <v>69.290000000000006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69.290000000000006</v>
      </c>
      <c r="Y19" s="1"/>
      <c r="Z19" s="5">
        <f t="shared" si="7"/>
        <v>0</v>
      </c>
    </row>
    <row r="20" spans="1:26" s="24" customFormat="1" hidden="1" outlineLevel="2" x14ac:dyDescent="0.25">
      <c r="A20" s="29"/>
      <c r="B20" s="11" t="str">
        <f>CONCATENATE("          ", "6373", " - ", "MAINTENANCE CONTRACTS")</f>
        <v xml:space="preserve">          6373 - MAINTENANCE CONTRACTS</v>
      </c>
      <c r="C20" s="11"/>
      <c r="D20" s="7">
        <v>69.290000000000006</v>
      </c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69.290000000000006</v>
      </c>
      <c r="M20" s="2"/>
      <c r="N20" s="6">
        <f t="shared" si="3"/>
        <v>0</v>
      </c>
      <c r="O20" s="11"/>
      <c r="P20" s="7">
        <v>69.290000000000006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69.290000000000006</v>
      </c>
      <c r="Y20" s="2"/>
      <c r="Z20" s="6">
        <f t="shared" si="7"/>
        <v>0</v>
      </c>
    </row>
    <row r="21" spans="1:26" s="28" customFormat="1" outlineLevel="1" collapsed="1" x14ac:dyDescent="0.25">
      <c r="A21" s="27"/>
      <c r="B21" s="14" t="str">
        <f>CONCATENATE("     ","Services                                          ")</f>
        <v xml:space="preserve">     Services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0</v>
      </c>
      <c r="Y21" s="1"/>
      <c r="Z21" s="5">
        <f t="shared" si="7"/>
        <v>0</v>
      </c>
    </row>
    <row r="22" spans="1:26" s="24" customFormat="1" hidden="1" outlineLevel="2" x14ac:dyDescent="0.25">
      <c r="A22" s="29"/>
      <c r="B22" s="11" t="str">
        <f>CONCATENATE("          ", "6284", " - ", "TRASH REMOVAL EXPENSE")</f>
        <v xml:space="preserve">          6284 - TRASH REMOVAL EXPENSE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/>
      <c r="Q22" s="2"/>
      <c r="R22" s="6">
        <f t="shared" si="4"/>
        <v>0</v>
      </c>
      <c r="S22" s="2"/>
      <c r="T22" s="7">
        <v>0</v>
      </c>
      <c r="U22" s="2"/>
      <c r="V22" s="6">
        <f t="shared" si="5"/>
        <v>0</v>
      </c>
      <c r="W22" s="2"/>
      <c r="X22" s="7">
        <f t="shared" si="6"/>
        <v>0</v>
      </c>
      <c r="Y22" s="2"/>
      <c r="Z22" s="6">
        <f t="shared" si="7"/>
        <v>0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6" t="s">
        <v>293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5" t="s">
        <v>277</v>
      </c>
      <c r="C26" s="25"/>
      <c r="D26" s="21">
        <f>+D16-D18+D24</f>
        <v>-69.290000000000006</v>
      </c>
      <c r="E26" s="13"/>
      <c r="F26" s="20">
        <f>IF(D$12=0,0,D26/D$12)</f>
        <v>0</v>
      </c>
      <c r="G26" s="13"/>
      <c r="H26" s="21">
        <f>+H16-H18+H24</f>
        <v>0</v>
      </c>
      <c r="I26" s="13"/>
      <c r="J26" s="20">
        <f>IF(H$12=0,0,H26/H$12)</f>
        <v>0</v>
      </c>
      <c r="K26" s="16"/>
      <c r="L26" s="21">
        <f>+D26-H26</f>
        <v>-69.290000000000006</v>
      </c>
      <c r="M26" s="16"/>
      <c r="N26" s="20">
        <f>IF(H26=0,0,L26/H26)</f>
        <v>0</v>
      </c>
      <c r="O26" s="26"/>
      <c r="P26" s="21">
        <f>+P16-P18+P24</f>
        <v>-69.290000000000006</v>
      </c>
      <c r="Q26" s="13"/>
      <c r="R26" s="20">
        <f>IF(P$12=0,0,P26/P$12)</f>
        <v>0</v>
      </c>
      <c r="S26" s="13"/>
      <c r="T26" s="21">
        <f>+T16-T18+T24</f>
        <v>0</v>
      </c>
      <c r="U26" s="13"/>
      <c r="V26" s="20">
        <f>IF(T$12=0,0,T26/T$12)</f>
        <v>0</v>
      </c>
      <c r="W26" s="16"/>
      <c r="X26" s="21">
        <f>+P26-T26</f>
        <v>-69.290000000000006</v>
      </c>
      <c r="Y26" s="16"/>
      <c r="Z26" s="20">
        <f>IF(T26=0,0,X26/T26)</f>
        <v>0</v>
      </c>
    </row>
    <row r="27" spans="1:26" x14ac:dyDescent="0.25">
      <c r="A27" s="9"/>
      <c r="B27" s="10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128</v>
      </c>
      <c r="C28" s="10"/>
      <c r="D28" s="4"/>
      <c r="E28" s="4"/>
      <c r="F28" s="12">
        <f>IF(D$12=0,0,D28/D$12)</f>
        <v>0</v>
      </c>
      <c r="G28" s="4"/>
      <c r="H28" s="4"/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/>
      <c r="Q28" s="4"/>
      <c r="R28" s="12">
        <f>IF(P$12=0,0,P28/P$12)</f>
        <v>0</v>
      </c>
      <c r="S28" s="4"/>
      <c r="T28" s="4"/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ht="15.75" thickBot="1" x14ac:dyDescent="0.3">
      <c r="A30" s="10"/>
      <c r="B30" s="25" t="s">
        <v>126</v>
      </c>
      <c r="C30" s="25"/>
      <c r="D30" s="33">
        <f>+D26-D28</f>
        <v>-69.290000000000006</v>
      </c>
      <c r="E30" s="13"/>
      <c r="F30" s="31">
        <f>IF(D$12=0,0,D30/D$12)</f>
        <v>0</v>
      </c>
      <c r="G30" s="13"/>
      <c r="H30" s="33">
        <f>+H26-H28</f>
        <v>0</v>
      </c>
      <c r="I30" s="13"/>
      <c r="J30" s="31">
        <f>IF(H$12=0,0,H30/H$12)</f>
        <v>0</v>
      </c>
      <c r="K30" s="16"/>
      <c r="L30" s="33">
        <f>D30-H30</f>
        <v>-69.290000000000006</v>
      </c>
      <c r="M30" s="16"/>
      <c r="N30" s="31">
        <f>IF(H30=0,0,L30/H30)</f>
        <v>0</v>
      </c>
      <c r="O30" s="26"/>
      <c r="P30" s="33">
        <f>+P26-P28</f>
        <v>-69.290000000000006</v>
      </c>
      <c r="Q30" s="13"/>
      <c r="R30" s="31">
        <f>IF(P$12=0,0,P30/P$12)</f>
        <v>0</v>
      </c>
      <c r="S30" s="13"/>
      <c r="T30" s="33">
        <f>+T26-T28</f>
        <v>0</v>
      </c>
      <c r="U30" s="13"/>
      <c r="V30" s="31">
        <f>IF(T$12=0,0,T30/T$12)</f>
        <v>0</v>
      </c>
      <c r="W30" s="16"/>
      <c r="X30" s="33">
        <f>P30-T30</f>
        <v>-69.290000000000006</v>
      </c>
      <c r="Y30" s="16"/>
      <c r="Z30" s="31">
        <f>IF(T30=0,0,X30/T30)</f>
        <v>0</v>
      </c>
    </row>
    <row r="31" spans="1:26" ht="15.75" thickTop="1" x14ac:dyDescent="0.25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.75" thickBot="1" x14ac:dyDescent="0.3">
      <c r="A33" s="10"/>
      <c r="B33" s="25" t="s">
        <v>294</v>
      </c>
      <c r="C33" s="25"/>
      <c r="D33" s="35">
        <f>SUM(D30:D32)</f>
        <v>-69.290000000000006</v>
      </c>
      <c r="E33" s="13"/>
      <c r="F33" s="34">
        <f>IF(D$12=0,0,D33/D$12)</f>
        <v>0</v>
      </c>
      <c r="G33" s="13"/>
      <c r="H33" s="35">
        <f>SUM(H30:H32)</f>
        <v>0</v>
      </c>
      <c r="I33" s="13"/>
      <c r="J33" s="34">
        <f>IF(H$12=0,0,H33/H$12)</f>
        <v>0</v>
      </c>
      <c r="K33" s="16"/>
      <c r="L33" s="35">
        <f>+D33-H33</f>
        <v>-69.290000000000006</v>
      </c>
      <c r="M33" s="16"/>
      <c r="N33" s="34">
        <f>IF(H33=0,0,L33/H33)</f>
        <v>0</v>
      </c>
      <c r="O33" s="26"/>
      <c r="P33" s="35">
        <f>SUM(P30:P32)</f>
        <v>-69.290000000000006</v>
      </c>
      <c r="Q33" s="13"/>
      <c r="R33" s="34">
        <f>IF(P$12=0,0,P33/P$12)</f>
        <v>0</v>
      </c>
      <c r="S33" s="13"/>
      <c r="T33" s="35">
        <f>SUM(T30:T32)</f>
        <v>0</v>
      </c>
      <c r="U33" s="13"/>
      <c r="V33" s="34">
        <f>IF(T$12=0,0,T33/T$12)</f>
        <v>0</v>
      </c>
      <c r="W33" s="16"/>
      <c r="X33" s="35">
        <f>+P33-T33</f>
        <v>-69.290000000000006</v>
      </c>
      <c r="Y33" s="16"/>
      <c r="Z33" s="34">
        <f>IF(T33=0,0,X33/T33)</f>
        <v>0</v>
      </c>
    </row>
    <row r="34" spans="1:26" ht="15.75" thickTop="1" x14ac:dyDescent="0.25">
      <c r="A34" s="9"/>
      <c r="C34" s="9"/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6" x14ac:dyDescent="0.25">
      <c r="A35" s="9"/>
      <c r="B35" s="61">
        <v>44481.978956793981</v>
      </c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6" x14ac:dyDescent="0.25">
      <c r="A36" s="9"/>
      <c r="B36" s="56" t="s">
        <v>56</v>
      </c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25">
      <c r="A37" s="9"/>
      <c r="B37" s="54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92D050"/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","411", " - ", "University Dining")</f>
        <v>Department 411 - University Dining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108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295</v>
      </c>
      <c r="C18" s="10"/>
      <c r="D18" s="22">
        <f>SUM(OSRRefD22x_0)</f>
        <v>43697.029999999992</v>
      </c>
      <c r="E18" s="22"/>
      <c r="F18" s="32">
        <f t="shared" ref="F18:F28" si="0">IF(D$12=0,0,D18/D$12)</f>
        <v>0</v>
      </c>
      <c r="G18" s="22"/>
      <c r="H18" s="22">
        <f>SUM(OSRRefH22x_0)</f>
        <v>41947.132430769241</v>
      </c>
      <c r="I18" s="22"/>
      <c r="J18" s="32">
        <f t="shared" ref="J18:J28" si="1">IF(H$12=0,0,H18/H$12)</f>
        <v>0</v>
      </c>
      <c r="K18" s="4"/>
      <c r="L18" s="22">
        <f t="shared" ref="L18:L28" si="2">+D18-H18</f>
        <v>1749.8975692307504</v>
      </c>
      <c r="M18" s="4"/>
      <c r="N18" s="32">
        <f t="shared" ref="N18:N28" si="3">IF(H18=0,0,L18/H18)</f>
        <v>4.1716738852621976E-2</v>
      </c>
      <c r="O18" s="10"/>
      <c r="P18" s="22">
        <f>SUM(OSRRefP22x_0)</f>
        <v>149755.28</v>
      </c>
      <c r="Q18" s="22"/>
      <c r="R18" s="32">
        <f t="shared" ref="R18:R28" si="4">IF(P$12=0,0,P18/P$12)</f>
        <v>0</v>
      </c>
      <c r="S18" s="22"/>
      <c r="T18" s="22">
        <f>SUM(OSRRefT22x_0)</f>
        <v>131676.93040000001</v>
      </c>
      <c r="U18" s="22"/>
      <c r="V18" s="32">
        <f t="shared" ref="V18:V28" si="5">IF(T$12=0,0,T18/T$12)</f>
        <v>0</v>
      </c>
      <c r="W18" s="4"/>
      <c r="X18" s="22">
        <f t="shared" ref="X18:X28" si="6">+P18-T18</f>
        <v>18078.349599999987</v>
      </c>
      <c r="Y18" s="4"/>
      <c r="Z18" s="32">
        <f t="shared" ref="Z18:Z28" si="7">IF(T18=0,0,X18/T18)</f>
        <v>0.13729321867606342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9232</v>
      </c>
      <c r="E19" s="1"/>
      <c r="F19" s="5">
        <f t="shared" si="0"/>
        <v>0</v>
      </c>
      <c r="G19" s="1"/>
      <c r="H19" s="1">
        <f>SUM(OSRRefH22_0x_0)</f>
        <v>8483.2093538461559</v>
      </c>
      <c r="I19" s="1"/>
      <c r="J19" s="5">
        <f t="shared" si="1"/>
        <v>0</v>
      </c>
      <c r="K19" s="1"/>
      <c r="L19" s="1">
        <f t="shared" si="2"/>
        <v>748.79064615384414</v>
      </c>
      <c r="M19" s="1"/>
      <c r="N19" s="5">
        <f t="shared" si="3"/>
        <v>8.8267377936907102E-2</v>
      </c>
      <c r="O19" s="14"/>
      <c r="P19" s="1">
        <f>SUM(OSRRefP22_0x_0)</f>
        <v>27360.690000000002</v>
      </c>
      <c r="Q19" s="1"/>
      <c r="R19" s="5">
        <f t="shared" si="4"/>
        <v>0</v>
      </c>
      <c r="S19" s="1"/>
      <c r="T19" s="1">
        <f>SUM(OSRRefT22_0x_0)</f>
        <v>26791.930400000012</v>
      </c>
      <c r="U19" s="1"/>
      <c r="V19" s="5">
        <f t="shared" si="5"/>
        <v>0</v>
      </c>
      <c r="W19" s="1"/>
      <c r="X19" s="1">
        <f t="shared" si="6"/>
        <v>568.75959999999031</v>
      </c>
      <c r="Y19" s="1"/>
      <c r="Z19" s="5">
        <f t="shared" si="7"/>
        <v>2.1228765210587069E-2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1459.25</v>
      </c>
      <c r="E20" s="2"/>
      <c r="F20" s="6">
        <f t="shared" si="0"/>
        <v>0</v>
      </c>
      <c r="G20" s="2"/>
      <c r="H20" s="7">
        <v>1358.2308923076901</v>
      </c>
      <c r="I20" s="2"/>
      <c r="J20" s="6">
        <f t="shared" si="1"/>
        <v>0</v>
      </c>
      <c r="K20" s="2"/>
      <c r="L20" s="7">
        <f t="shared" si="2"/>
        <v>101.01910769230994</v>
      </c>
      <c r="M20" s="2"/>
      <c r="N20" s="6">
        <f t="shared" si="3"/>
        <v>7.4375504389150165E-2</v>
      </c>
      <c r="O20" s="11"/>
      <c r="P20" s="7">
        <v>4122.59</v>
      </c>
      <c r="Q20" s="2"/>
      <c r="R20" s="6">
        <f t="shared" si="4"/>
        <v>0</v>
      </c>
      <c r="S20" s="2"/>
      <c r="T20" s="7">
        <v>4414.2503999999999</v>
      </c>
      <c r="U20" s="2"/>
      <c r="V20" s="6">
        <f t="shared" si="5"/>
        <v>0</v>
      </c>
      <c r="W20" s="2"/>
      <c r="X20" s="7">
        <f t="shared" si="6"/>
        <v>-291.66039999999975</v>
      </c>
      <c r="Y20" s="2"/>
      <c r="Z20" s="6">
        <f t="shared" si="7"/>
        <v>-6.6072463854791694E-2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224.03</v>
      </c>
      <c r="E21" s="2"/>
      <c r="F21" s="6">
        <f t="shared" si="0"/>
        <v>0</v>
      </c>
      <c r="G21" s="2"/>
      <c r="H21" s="7">
        <v>672.63753846153895</v>
      </c>
      <c r="I21" s="2"/>
      <c r="J21" s="6">
        <f t="shared" si="1"/>
        <v>0</v>
      </c>
      <c r="K21" s="2"/>
      <c r="L21" s="7">
        <f t="shared" si="2"/>
        <v>-448.60753846153898</v>
      </c>
      <c r="M21" s="2"/>
      <c r="N21" s="6">
        <f t="shared" si="3"/>
        <v>-0.66693800570155082</v>
      </c>
      <c r="O21" s="11"/>
      <c r="P21" s="7">
        <v>670.16</v>
      </c>
      <c r="Q21" s="2"/>
      <c r="R21" s="6">
        <f t="shared" si="4"/>
        <v>0</v>
      </c>
      <c r="S21" s="2"/>
      <c r="T21" s="7">
        <v>2186.0720000000001</v>
      </c>
      <c r="U21" s="2"/>
      <c r="V21" s="6">
        <f t="shared" si="5"/>
        <v>0</v>
      </c>
      <c r="W21" s="2"/>
      <c r="X21" s="7">
        <f t="shared" si="6"/>
        <v>-1515.9120000000003</v>
      </c>
      <c r="Y21" s="2"/>
      <c r="Z21" s="6">
        <f t="shared" si="7"/>
        <v>-0.69344102115575346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3337.11</v>
      </c>
      <c r="E22" s="2"/>
      <c r="F22" s="6">
        <f t="shared" si="0"/>
        <v>0</v>
      </c>
      <c r="G22" s="2"/>
      <c r="H22" s="7">
        <v>2764</v>
      </c>
      <c r="I22" s="2"/>
      <c r="J22" s="6">
        <f t="shared" si="1"/>
        <v>0</v>
      </c>
      <c r="K22" s="2"/>
      <c r="L22" s="7">
        <f t="shared" si="2"/>
        <v>573.11000000000013</v>
      </c>
      <c r="M22" s="2"/>
      <c r="N22" s="6">
        <f t="shared" si="3"/>
        <v>0.20734804630969614</v>
      </c>
      <c r="O22" s="11"/>
      <c r="P22" s="7">
        <v>9973.83</v>
      </c>
      <c r="Q22" s="2"/>
      <c r="R22" s="6">
        <f t="shared" si="4"/>
        <v>0</v>
      </c>
      <c r="S22" s="2"/>
      <c r="T22" s="7">
        <v>8292</v>
      </c>
      <c r="U22" s="2"/>
      <c r="V22" s="6">
        <f t="shared" si="5"/>
        <v>0</v>
      </c>
      <c r="W22" s="2"/>
      <c r="X22" s="7">
        <f t="shared" si="6"/>
        <v>1681.83</v>
      </c>
      <c r="Y22" s="2"/>
      <c r="Z22" s="6">
        <f t="shared" si="7"/>
        <v>0.20282561505065122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45.15</v>
      </c>
      <c r="E23" s="2"/>
      <c r="F23" s="6">
        <f t="shared" si="0"/>
        <v>0</v>
      </c>
      <c r="G23" s="2"/>
      <c r="H23" s="7">
        <v>37.270153846153903</v>
      </c>
      <c r="I23" s="2"/>
      <c r="J23" s="6">
        <f t="shared" si="1"/>
        <v>0</v>
      </c>
      <c r="K23" s="2"/>
      <c r="L23" s="7">
        <f t="shared" si="2"/>
        <v>7.8798461538460955</v>
      </c>
      <c r="M23" s="2"/>
      <c r="N23" s="6">
        <f t="shared" si="3"/>
        <v>0.2114251040221895</v>
      </c>
      <c r="O23" s="11"/>
      <c r="P23" s="7">
        <v>135.06</v>
      </c>
      <c r="Q23" s="2"/>
      <c r="R23" s="6">
        <f t="shared" si="4"/>
        <v>0</v>
      </c>
      <c r="S23" s="2"/>
      <c r="T23" s="7">
        <v>121.128</v>
      </c>
      <c r="U23" s="2"/>
      <c r="V23" s="6">
        <f t="shared" si="5"/>
        <v>0</v>
      </c>
      <c r="W23" s="2"/>
      <c r="X23" s="7">
        <f t="shared" si="6"/>
        <v>13.932000000000002</v>
      </c>
      <c r="Y23" s="2"/>
      <c r="Z23" s="6">
        <f t="shared" si="7"/>
        <v>0.11501882306320588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1873.21</v>
      </c>
      <c r="E24" s="2"/>
      <c r="F24" s="6">
        <f t="shared" si="0"/>
        <v>0</v>
      </c>
      <c r="G24" s="2"/>
      <c r="H24" s="7">
        <v>1526.3015384615401</v>
      </c>
      <c r="I24" s="2"/>
      <c r="J24" s="6">
        <f t="shared" si="1"/>
        <v>0</v>
      </c>
      <c r="K24" s="2"/>
      <c r="L24" s="7">
        <f t="shared" si="2"/>
        <v>346.90846153845996</v>
      </c>
      <c r="M24" s="2"/>
      <c r="N24" s="6">
        <f t="shared" si="3"/>
        <v>0.22728697626036062</v>
      </c>
      <c r="O24" s="11"/>
      <c r="P24" s="7">
        <v>5619.63</v>
      </c>
      <c r="Q24" s="2"/>
      <c r="R24" s="6">
        <f t="shared" si="4"/>
        <v>0</v>
      </c>
      <c r="S24" s="2"/>
      <c r="T24" s="7">
        <v>4960.4800000000096</v>
      </c>
      <c r="U24" s="2"/>
      <c r="V24" s="6">
        <f t="shared" si="5"/>
        <v>0</v>
      </c>
      <c r="W24" s="2"/>
      <c r="X24" s="7">
        <f t="shared" si="6"/>
        <v>659.14999999999054</v>
      </c>
      <c r="Y24" s="2"/>
      <c r="Z24" s="6">
        <f t="shared" si="7"/>
        <v>0.13288028577879343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1518.94</v>
      </c>
      <c r="E26" s="2"/>
      <c r="F26" s="6">
        <f t="shared" si="0"/>
        <v>0</v>
      </c>
      <c r="G26" s="2"/>
      <c r="H26" s="7">
        <v>1648</v>
      </c>
      <c r="I26" s="2"/>
      <c r="J26" s="6">
        <f t="shared" si="1"/>
        <v>0</v>
      </c>
      <c r="K26" s="2"/>
      <c r="L26" s="7">
        <f t="shared" si="2"/>
        <v>-129.05999999999995</v>
      </c>
      <c r="M26" s="2"/>
      <c r="N26" s="6">
        <f t="shared" si="3"/>
        <v>-7.8313106796116472E-2</v>
      </c>
      <c r="O26" s="11"/>
      <c r="P26" s="7">
        <v>4556.82</v>
      </c>
      <c r="Q26" s="2"/>
      <c r="R26" s="6">
        <f t="shared" si="4"/>
        <v>0</v>
      </c>
      <c r="S26" s="2"/>
      <c r="T26" s="7">
        <v>5356</v>
      </c>
      <c r="U26" s="2"/>
      <c r="V26" s="6">
        <f t="shared" si="5"/>
        <v>0</v>
      </c>
      <c r="W26" s="2"/>
      <c r="X26" s="7">
        <f t="shared" si="6"/>
        <v>-799.18000000000029</v>
      </c>
      <c r="Y26" s="2"/>
      <c r="Z26" s="6">
        <f t="shared" si="7"/>
        <v>-0.14921209858103068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510.58</v>
      </c>
      <c r="E27" s="2"/>
      <c r="F27" s="6">
        <f t="shared" si="0"/>
        <v>0</v>
      </c>
      <c r="G27" s="2"/>
      <c r="H27" s="7">
        <v>126.769230769231</v>
      </c>
      <c r="I27" s="2"/>
      <c r="J27" s="6">
        <f t="shared" si="1"/>
        <v>0</v>
      </c>
      <c r="K27" s="2"/>
      <c r="L27" s="7">
        <f t="shared" si="2"/>
        <v>383.81076923076898</v>
      </c>
      <c r="M27" s="2"/>
      <c r="N27" s="6">
        <f t="shared" si="3"/>
        <v>3.0276334951456234</v>
      </c>
      <c r="O27" s="11"/>
      <c r="P27" s="7">
        <v>1531.74</v>
      </c>
      <c r="Q27" s="2"/>
      <c r="R27" s="6">
        <f t="shared" si="4"/>
        <v>0</v>
      </c>
      <c r="S27" s="2"/>
      <c r="T27" s="7">
        <v>412.00000000000102</v>
      </c>
      <c r="U27" s="2"/>
      <c r="V27" s="6">
        <f t="shared" si="5"/>
        <v>0</v>
      </c>
      <c r="W27" s="2"/>
      <c r="X27" s="7">
        <f t="shared" si="6"/>
        <v>1119.7399999999989</v>
      </c>
      <c r="Y27" s="2"/>
      <c r="Z27" s="6">
        <f t="shared" si="7"/>
        <v>2.717815533980573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263.73</v>
      </c>
      <c r="E28" s="2"/>
      <c r="F28" s="6">
        <f t="shared" si="0"/>
        <v>0</v>
      </c>
      <c r="G28" s="2"/>
      <c r="H28" s="7">
        <v>350</v>
      </c>
      <c r="I28" s="2"/>
      <c r="J28" s="6">
        <f t="shared" si="1"/>
        <v>0</v>
      </c>
      <c r="K28" s="2"/>
      <c r="L28" s="7">
        <f t="shared" si="2"/>
        <v>-86.269999999999982</v>
      </c>
      <c r="M28" s="2"/>
      <c r="N28" s="6">
        <f t="shared" si="3"/>
        <v>-0.24648571428571422</v>
      </c>
      <c r="O28" s="11"/>
      <c r="P28" s="7">
        <v>750.86</v>
      </c>
      <c r="Q28" s="2"/>
      <c r="R28" s="6">
        <f t="shared" si="4"/>
        <v>0</v>
      </c>
      <c r="S28" s="2"/>
      <c r="T28" s="7">
        <v>1050</v>
      </c>
      <c r="U28" s="2"/>
      <c r="V28" s="6">
        <f t="shared" si="5"/>
        <v>0</v>
      </c>
      <c r="W28" s="2"/>
      <c r="X28" s="7">
        <f t="shared" si="6"/>
        <v>-299.14</v>
      </c>
      <c r="Y28" s="2"/>
      <c r="Z28" s="6">
        <f t="shared" si="7"/>
        <v>-0.28489523809523809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17388.849999999999</v>
      </c>
      <c r="E29" s="1"/>
      <c r="F29" s="5">
        <f t="shared" ref="F29:F39" si="8">IF(D$12=0,0,D29/D$12)</f>
        <v>0</v>
      </c>
      <c r="G29" s="1"/>
      <c r="H29" s="1">
        <f>SUM(OSRRefH22_1x_0)</f>
        <v>15972.923076923082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1415.9269230769169</v>
      </c>
      <c r="M29" s="1"/>
      <c r="N29" s="5">
        <f t="shared" ref="N29:N39" si="11">IF(H29=0,0,L29/H29)</f>
        <v>8.8645448065957366E-2</v>
      </c>
      <c r="O29" s="14"/>
      <c r="P29" s="1">
        <f>SUM(OSRRefP22_1x_0)</f>
        <v>54511.77</v>
      </c>
      <c r="Q29" s="1"/>
      <c r="R29" s="5">
        <f t="shared" ref="R29:R39" si="12">IF(P$12=0,0,P29/P$12)</f>
        <v>0</v>
      </c>
      <c r="S29" s="1"/>
      <c r="T29" s="1">
        <f>SUM(OSRRefT22_1x_0)</f>
        <v>51912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2599.7699999999968</v>
      </c>
      <c r="Y29" s="1"/>
      <c r="Z29" s="5">
        <f t="shared" ref="Z29:Z39" si="15">IF(T29=0,0,X29/T29)</f>
        <v>5.0080328247803917E-2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>
        <v>10515.82</v>
      </c>
      <c r="E30" s="2"/>
      <c r="F30" s="6">
        <f t="shared" si="8"/>
        <v>0</v>
      </c>
      <c r="G30" s="2"/>
      <c r="H30" s="7">
        <v>10268.307692307701</v>
      </c>
      <c r="I30" s="2"/>
      <c r="J30" s="6">
        <f t="shared" si="9"/>
        <v>0</v>
      </c>
      <c r="K30" s="2"/>
      <c r="L30" s="7">
        <f t="shared" si="10"/>
        <v>247.51230769229915</v>
      </c>
      <c r="M30" s="2"/>
      <c r="N30" s="6">
        <f t="shared" si="11"/>
        <v>2.4104488792999267E-2</v>
      </c>
      <c r="O30" s="11"/>
      <c r="P30" s="7">
        <v>33207.519999999997</v>
      </c>
      <c r="Q30" s="2"/>
      <c r="R30" s="6">
        <f t="shared" si="12"/>
        <v>0</v>
      </c>
      <c r="S30" s="2"/>
      <c r="T30" s="7">
        <v>33372</v>
      </c>
      <c r="U30" s="2"/>
      <c r="V30" s="6">
        <f t="shared" si="13"/>
        <v>0</v>
      </c>
      <c r="W30" s="2"/>
      <c r="X30" s="7">
        <f t="shared" si="14"/>
        <v>-164.4800000000032</v>
      </c>
      <c r="Y30" s="2"/>
      <c r="Z30" s="6">
        <f t="shared" si="15"/>
        <v>-4.9286827280355747E-3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7">
        <v>5532.91</v>
      </c>
      <c r="E31" s="2"/>
      <c r="F31" s="6">
        <f t="shared" si="8"/>
        <v>0</v>
      </c>
      <c r="G31" s="2"/>
      <c r="H31" s="7">
        <v>5704.6153846153802</v>
      </c>
      <c r="I31" s="2"/>
      <c r="J31" s="6">
        <f t="shared" si="9"/>
        <v>0</v>
      </c>
      <c r="K31" s="2"/>
      <c r="L31" s="7">
        <f t="shared" si="10"/>
        <v>-171.70538461538035</v>
      </c>
      <c r="M31" s="2"/>
      <c r="N31" s="6">
        <f t="shared" si="11"/>
        <v>-3.0099379719524626E-2</v>
      </c>
      <c r="O31" s="11"/>
      <c r="P31" s="7">
        <v>19365.27</v>
      </c>
      <c r="Q31" s="2"/>
      <c r="R31" s="6">
        <f t="shared" si="12"/>
        <v>0</v>
      </c>
      <c r="S31" s="2"/>
      <c r="T31" s="7">
        <v>18540</v>
      </c>
      <c r="U31" s="2"/>
      <c r="V31" s="6">
        <f t="shared" si="13"/>
        <v>0</v>
      </c>
      <c r="W31" s="2"/>
      <c r="X31" s="7">
        <f t="shared" si="14"/>
        <v>825.27000000000044</v>
      </c>
      <c r="Y31" s="2"/>
      <c r="Z31" s="6">
        <f t="shared" si="15"/>
        <v>4.4512944983818796E-2</v>
      </c>
    </row>
    <row r="32" spans="1:26" s="24" customFormat="1" hidden="1" outlineLevel="2" x14ac:dyDescent="0.25">
      <c r="A32" s="29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7">
        <v>312.5</v>
      </c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312.5</v>
      </c>
      <c r="M33" s="2"/>
      <c r="N33" s="6">
        <f t="shared" si="11"/>
        <v>0</v>
      </c>
      <c r="O33" s="11"/>
      <c r="P33" s="7">
        <v>312.5</v>
      </c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312.5</v>
      </c>
      <c r="Y33" s="2"/>
      <c r="Z33" s="6">
        <f t="shared" si="15"/>
        <v>0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>
        <v>1395.62</v>
      </c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1395.62</v>
      </c>
      <c r="M34" s="2"/>
      <c r="N34" s="6">
        <f t="shared" si="11"/>
        <v>0</v>
      </c>
      <c r="O34" s="11"/>
      <c r="P34" s="7">
        <v>1626.48</v>
      </c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1626.48</v>
      </c>
      <c r="Y34" s="2"/>
      <c r="Z34" s="6">
        <f t="shared" si="15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>
        <v>-368</v>
      </c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-368</v>
      </c>
      <c r="M36" s="2"/>
      <c r="N36" s="6">
        <f t="shared" si="11"/>
        <v>0</v>
      </c>
      <c r="O36" s="11"/>
      <c r="P36" s="7">
        <v>0</v>
      </c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9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9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25">
      <c r="A40" s="27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SUM(OSRRefD22_2x_0)</f>
        <v>242.91</v>
      </c>
      <c r="E40" s="1"/>
      <c r="F40" s="5">
        <f t="shared" ref="F40:F44" si="16">IF(D$12=0,0,D40/D$12)</f>
        <v>0</v>
      </c>
      <c r="G40" s="1"/>
      <c r="H40" s="1">
        <f>SUM(OSRRefH22_2x_0)</f>
        <v>839</v>
      </c>
      <c r="I40" s="1"/>
      <c r="J40" s="5">
        <f t="shared" ref="J40:J44" si="17">IF(H$12=0,0,H40/H$12)</f>
        <v>0</v>
      </c>
      <c r="K40" s="1"/>
      <c r="L40" s="1">
        <f t="shared" ref="L40:L44" si="18">+D40-H40</f>
        <v>-596.09</v>
      </c>
      <c r="M40" s="1"/>
      <c r="N40" s="5">
        <f t="shared" ref="N40:N44" si="19">IF(H40=0,0,L40/H40)</f>
        <v>-0.71047675804529209</v>
      </c>
      <c r="O40" s="14"/>
      <c r="P40" s="1">
        <f>SUM(OSRRefP22_2x_0)</f>
        <v>728.73</v>
      </c>
      <c r="Q40" s="1"/>
      <c r="R40" s="5">
        <f t="shared" ref="R40:R44" si="20">IF(P$12=0,0,P40/P$12)</f>
        <v>0</v>
      </c>
      <c r="S40" s="1"/>
      <c r="T40" s="1">
        <f>SUM(OSRRefT22_2x_0)</f>
        <v>2517</v>
      </c>
      <c r="U40" s="1"/>
      <c r="V40" s="5">
        <f t="shared" ref="V40:V44" si="21">IF(T$12=0,0,T40/T$12)</f>
        <v>0</v>
      </c>
      <c r="W40" s="1"/>
      <c r="X40" s="1">
        <f t="shared" ref="X40:X44" si="22">+P40-T40</f>
        <v>-1788.27</v>
      </c>
      <c r="Y40" s="1"/>
      <c r="Z40" s="5">
        <f t="shared" ref="Z40:Z44" si="23">IF(T40=0,0,X40/T40)</f>
        <v>-0.71047675804529198</v>
      </c>
    </row>
    <row r="41" spans="1:26" s="24" customFormat="1" hidden="1" outlineLevel="2" x14ac:dyDescent="0.25">
      <c r="A41" s="29"/>
      <c r="B41" s="11" t="str">
        <f>CONCATENATE("          ", "6381", " - ", "BANK/CREDIT CARD FEES")</f>
        <v xml:space="preserve">          6381 - BANK/CREDIT CARD FEES</v>
      </c>
      <c r="C41" s="11"/>
      <c r="D41" s="7">
        <v>242.91</v>
      </c>
      <c r="E41" s="2"/>
      <c r="F41" s="6">
        <f t="shared" si="16"/>
        <v>0</v>
      </c>
      <c r="G41" s="2"/>
      <c r="H41" s="7">
        <v>839</v>
      </c>
      <c r="I41" s="2"/>
      <c r="J41" s="6">
        <f t="shared" si="17"/>
        <v>0</v>
      </c>
      <c r="K41" s="2"/>
      <c r="L41" s="7">
        <f t="shared" si="18"/>
        <v>-596.09</v>
      </c>
      <c r="M41" s="2"/>
      <c r="N41" s="6">
        <f t="shared" si="19"/>
        <v>-0.71047675804529209</v>
      </c>
      <c r="O41" s="11"/>
      <c r="P41" s="7">
        <v>728.73</v>
      </c>
      <c r="Q41" s="2"/>
      <c r="R41" s="6">
        <f t="shared" si="20"/>
        <v>0</v>
      </c>
      <c r="S41" s="2"/>
      <c r="T41" s="7">
        <v>2517</v>
      </c>
      <c r="U41" s="2"/>
      <c r="V41" s="6">
        <f t="shared" si="21"/>
        <v>0</v>
      </c>
      <c r="W41" s="2"/>
      <c r="X41" s="7">
        <f t="shared" si="22"/>
        <v>-1788.27</v>
      </c>
      <c r="Y41" s="2"/>
      <c r="Z41" s="6">
        <f t="shared" si="23"/>
        <v>-0.71047675804529198</v>
      </c>
    </row>
    <row r="42" spans="1:26" s="28" customFormat="1" outlineLevel="1" collapsed="1" x14ac:dyDescent="0.25">
      <c r="A42" s="27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5331.53</v>
      </c>
      <c r="E42" s="1"/>
      <c r="F42" s="5">
        <f t="shared" si="16"/>
        <v>0</v>
      </c>
      <c r="G42" s="1"/>
      <c r="H42" s="1">
        <f>SUM(OSRRefH22_3x_0)</f>
        <v>5332</v>
      </c>
      <c r="I42" s="1"/>
      <c r="J42" s="5">
        <f t="shared" si="17"/>
        <v>0</v>
      </c>
      <c r="K42" s="1"/>
      <c r="L42" s="1">
        <f t="shared" si="18"/>
        <v>-0.47000000000025466</v>
      </c>
      <c r="M42" s="1"/>
      <c r="N42" s="5">
        <f t="shared" si="19"/>
        <v>-8.8147036759237562E-5</v>
      </c>
      <c r="O42" s="14"/>
      <c r="P42" s="1">
        <f>SUM(OSRRefP22_3x_0)</f>
        <v>15994.59</v>
      </c>
      <c r="Q42" s="1"/>
      <c r="R42" s="5">
        <f t="shared" si="20"/>
        <v>0</v>
      </c>
      <c r="S42" s="1"/>
      <c r="T42" s="1">
        <f>SUM(OSRRefT22_3x_0)</f>
        <v>15996</v>
      </c>
      <c r="U42" s="1"/>
      <c r="V42" s="5">
        <f t="shared" si="21"/>
        <v>0</v>
      </c>
      <c r="W42" s="1"/>
      <c r="X42" s="1">
        <f t="shared" si="22"/>
        <v>-1.4099999999998545</v>
      </c>
      <c r="Y42" s="1"/>
      <c r="Z42" s="5">
        <f t="shared" si="23"/>
        <v>-8.8147036759180696E-5</v>
      </c>
    </row>
    <row r="43" spans="1:26" s="24" customFormat="1" hidden="1" outlineLevel="2" x14ac:dyDescent="0.25">
      <c r="A43" s="29"/>
      <c r="B43" s="11" t="str">
        <f>CONCATENATE("          ", "6321", " - ", "BUILDING DEPRECIATION")</f>
        <v xml:space="preserve">          6321 - BUILDING DEPRECIATION</v>
      </c>
      <c r="C43" s="11"/>
      <c r="D43" s="7">
        <v>1822.68</v>
      </c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1822.68</v>
      </c>
      <c r="M43" s="2"/>
      <c r="N43" s="6">
        <f t="shared" si="19"/>
        <v>0</v>
      </c>
      <c r="O43" s="11"/>
      <c r="P43" s="7">
        <v>5468.04</v>
      </c>
      <c r="Q43" s="2"/>
      <c r="R43" s="6">
        <f t="shared" si="20"/>
        <v>0</v>
      </c>
      <c r="S43" s="2"/>
      <c r="T43" s="7"/>
      <c r="U43" s="2"/>
      <c r="V43" s="6">
        <f t="shared" si="21"/>
        <v>0</v>
      </c>
      <c r="W43" s="2"/>
      <c r="X43" s="7">
        <f t="shared" si="22"/>
        <v>5468.04</v>
      </c>
      <c r="Y43" s="2"/>
      <c r="Z43" s="6">
        <f t="shared" si="23"/>
        <v>0</v>
      </c>
    </row>
    <row r="44" spans="1:26" s="24" customFormat="1" hidden="1" outlineLevel="2" x14ac:dyDescent="0.25">
      <c r="A44" s="29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3508.85</v>
      </c>
      <c r="E44" s="2"/>
      <c r="F44" s="6">
        <f t="shared" si="16"/>
        <v>0</v>
      </c>
      <c r="G44" s="2"/>
      <c r="H44" s="7">
        <v>5332</v>
      </c>
      <c r="I44" s="2"/>
      <c r="J44" s="6">
        <f t="shared" si="17"/>
        <v>0</v>
      </c>
      <c r="K44" s="2"/>
      <c r="L44" s="7">
        <f t="shared" si="18"/>
        <v>-1823.15</v>
      </c>
      <c r="M44" s="2"/>
      <c r="N44" s="6">
        <f t="shared" si="19"/>
        <v>-0.34192610652663169</v>
      </c>
      <c r="O44" s="11"/>
      <c r="P44" s="7">
        <v>10526.55</v>
      </c>
      <c r="Q44" s="2"/>
      <c r="R44" s="6">
        <f t="shared" si="20"/>
        <v>0</v>
      </c>
      <c r="S44" s="2"/>
      <c r="T44" s="7">
        <v>15996</v>
      </c>
      <c r="U44" s="2"/>
      <c r="V44" s="6">
        <f t="shared" si="21"/>
        <v>0</v>
      </c>
      <c r="W44" s="2"/>
      <c r="X44" s="7">
        <f t="shared" si="22"/>
        <v>-5469.4500000000007</v>
      </c>
      <c r="Y44" s="2"/>
      <c r="Z44" s="6">
        <f t="shared" si="23"/>
        <v>-0.34192610652663169</v>
      </c>
    </row>
    <row r="45" spans="1:26" s="28" customFormat="1" outlineLevel="1" collapsed="1" x14ac:dyDescent="0.25">
      <c r="A45" s="27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SUM(OSRRefD22_4x_0)</f>
        <v>0</v>
      </c>
      <c r="E45" s="1"/>
      <c r="F45" s="5">
        <f t="shared" ref="F45:F56" si="24">IF(D$12=0,0,D45/D$12)</f>
        <v>0</v>
      </c>
      <c r="G45" s="1"/>
      <c r="H45" s="1">
        <f>SUM(OSRRefH22_4x_0)</f>
        <v>0</v>
      </c>
      <c r="I45" s="1"/>
      <c r="J45" s="5">
        <f t="shared" ref="J45:J56" si="25">IF(H$12=0,0,H45/H$12)</f>
        <v>0</v>
      </c>
      <c r="K45" s="1"/>
      <c r="L45" s="1">
        <f t="shared" ref="L45:L56" si="26">+D45-H45</f>
        <v>0</v>
      </c>
      <c r="M45" s="1"/>
      <c r="N45" s="5">
        <f t="shared" ref="N45:N56" si="27">IF(H45=0,0,L45/H45)</f>
        <v>0</v>
      </c>
      <c r="O45" s="14"/>
      <c r="P45" s="1">
        <f>SUM(OSRRefP22_4x_0)</f>
        <v>18</v>
      </c>
      <c r="Q45" s="1"/>
      <c r="R45" s="5">
        <f t="shared" ref="R45:R56" si="28">IF(P$12=0,0,P45/P$12)</f>
        <v>0</v>
      </c>
      <c r="S45" s="1"/>
      <c r="T45" s="1">
        <f>SUM(OSRRefT22_4x_0)</f>
        <v>0</v>
      </c>
      <c r="U45" s="1"/>
      <c r="V45" s="5">
        <f t="shared" ref="V45:V56" si="29">IF(T$12=0,0,T45/T$12)</f>
        <v>0</v>
      </c>
      <c r="W45" s="1"/>
      <c r="X45" s="1">
        <f t="shared" ref="X45:X56" si="30">+P45-T45</f>
        <v>18</v>
      </c>
      <c r="Y45" s="1"/>
      <c r="Z45" s="5">
        <f t="shared" ref="Z45:Z56" si="31">IF(T45=0,0,X45/T45)</f>
        <v>0</v>
      </c>
    </row>
    <row r="46" spans="1:26" s="24" customFormat="1" hidden="1" outlineLevel="2" x14ac:dyDescent="0.25">
      <c r="A46" s="29"/>
      <c r="B46" s="11" t="str">
        <f>CONCATENATE("          ", "6277", " - ", "EMPLOYEE APPRECIATION")</f>
        <v xml:space="preserve">          6277 - EMPLOYEE APPRECIATION</v>
      </c>
      <c r="C46" s="11"/>
      <c r="D46" s="7"/>
      <c r="E46" s="2"/>
      <c r="F46" s="6">
        <f t="shared" si="24"/>
        <v>0</v>
      </c>
      <c r="G46" s="2"/>
      <c r="H46" s="7"/>
      <c r="I46" s="2"/>
      <c r="J46" s="6">
        <f t="shared" si="25"/>
        <v>0</v>
      </c>
      <c r="K46" s="2"/>
      <c r="L46" s="7">
        <f t="shared" si="26"/>
        <v>0</v>
      </c>
      <c r="M46" s="2"/>
      <c r="N46" s="6">
        <f t="shared" si="27"/>
        <v>0</v>
      </c>
      <c r="O46" s="11"/>
      <c r="P46" s="7">
        <v>18</v>
      </c>
      <c r="Q46" s="2"/>
      <c r="R46" s="6">
        <f t="shared" si="28"/>
        <v>0</v>
      </c>
      <c r="S46" s="2"/>
      <c r="T46" s="7"/>
      <c r="U46" s="2"/>
      <c r="V46" s="6">
        <f t="shared" si="29"/>
        <v>0</v>
      </c>
      <c r="W46" s="2"/>
      <c r="X46" s="7">
        <f t="shared" si="30"/>
        <v>18</v>
      </c>
      <c r="Y46" s="2"/>
      <c r="Z46" s="6">
        <f t="shared" si="31"/>
        <v>0</v>
      </c>
    </row>
    <row r="47" spans="1:26" s="28" customFormat="1" outlineLevel="1" collapsed="1" x14ac:dyDescent="0.25">
      <c r="A47" s="27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SUM(OSRRefD22_5x_0)</f>
        <v>91.26</v>
      </c>
      <c r="E47" s="1"/>
      <c r="F47" s="5">
        <f t="shared" si="24"/>
        <v>0</v>
      </c>
      <c r="G47" s="1"/>
      <c r="H47" s="1">
        <f>SUM(OSRRefH22_5x_0)</f>
        <v>300</v>
      </c>
      <c r="I47" s="1"/>
      <c r="J47" s="5">
        <f t="shared" si="25"/>
        <v>0</v>
      </c>
      <c r="K47" s="1"/>
      <c r="L47" s="1">
        <f t="shared" si="26"/>
        <v>-208.74</v>
      </c>
      <c r="M47" s="1"/>
      <c r="N47" s="5">
        <f t="shared" si="27"/>
        <v>-0.69580000000000009</v>
      </c>
      <c r="O47" s="14"/>
      <c r="P47" s="1">
        <f>SUM(OSRRefP22_5x_0)</f>
        <v>273.77999999999997</v>
      </c>
      <c r="Q47" s="1"/>
      <c r="R47" s="5">
        <f t="shared" si="28"/>
        <v>0</v>
      </c>
      <c r="S47" s="1"/>
      <c r="T47" s="1">
        <f>SUM(OSRRefT22_5x_0)</f>
        <v>900</v>
      </c>
      <c r="U47" s="1"/>
      <c r="V47" s="5">
        <f t="shared" si="29"/>
        <v>0</v>
      </c>
      <c r="W47" s="1"/>
      <c r="X47" s="1">
        <f t="shared" si="30"/>
        <v>-626.22</v>
      </c>
      <c r="Y47" s="1"/>
      <c r="Z47" s="5">
        <f t="shared" si="31"/>
        <v>-0.69580000000000009</v>
      </c>
    </row>
    <row r="48" spans="1:26" s="24" customFormat="1" hidden="1" outlineLevel="2" x14ac:dyDescent="0.25">
      <c r="A48" s="29"/>
      <c r="B48" s="11" t="str">
        <f>CONCATENATE("          ", "6351", " - ", "EQUIPMENT RENTAL")</f>
        <v xml:space="preserve">          6351 - EQUIPMENT RENTAL</v>
      </c>
      <c r="C48" s="11"/>
      <c r="D48" s="7">
        <v>91.26</v>
      </c>
      <c r="E48" s="2"/>
      <c r="F48" s="6">
        <f t="shared" si="24"/>
        <v>0</v>
      </c>
      <c r="G48" s="2"/>
      <c r="H48" s="7">
        <v>300</v>
      </c>
      <c r="I48" s="2"/>
      <c r="J48" s="6">
        <f t="shared" si="25"/>
        <v>0</v>
      </c>
      <c r="K48" s="2"/>
      <c r="L48" s="7">
        <f t="shared" si="26"/>
        <v>-208.74</v>
      </c>
      <c r="M48" s="2"/>
      <c r="N48" s="6">
        <f t="shared" si="27"/>
        <v>-0.69580000000000009</v>
      </c>
      <c r="O48" s="11"/>
      <c r="P48" s="7">
        <v>273.77999999999997</v>
      </c>
      <c r="Q48" s="2"/>
      <c r="R48" s="6">
        <f t="shared" si="28"/>
        <v>0</v>
      </c>
      <c r="S48" s="2"/>
      <c r="T48" s="7">
        <v>900</v>
      </c>
      <c r="U48" s="2"/>
      <c r="V48" s="6">
        <f t="shared" si="29"/>
        <v>0</v>
      </c>
      <c r="W48" s="2"/>
      <c r="X48" s="7">
        <f t="shared" si="30"/>
        <v>-626.22</v>
      </c>
      <c r="Y48" s="2"/>
      <c r="Z48" s="6">
        <f t="shared" si="31"/>
        <v>-0.69580000000000009</v>
      </c>
    </row>
    <row r="49" spans="1:26" s="28" customFormat="1" outlineLevel="1" collapsed="1" x14ac:dyDescent="0.25">
      <c r="A49" s="27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0</v>
      </c>
      <c r="E49" s="1"/>
      <c r="F49" s="5">
        <f t="shared" si="24"/>
        <v>0</v>
      </c>
      <c r="G49" s="1"/>
      <c r="H49" s="1">
        <f>SUM(OSRRefH22_6x_0)</f>
        <v>0</v>
      </c>
      <c r="I49" s="1"/>
      <c r="J49" s="5">
        <f t="shared" si="25"/>
        <v>0</v>
      </c>
      <c r="K49" s="1"/>
      <c r="L49" s="1">
        <f t="shared" si="26"/>
        <v>0</v>
      </c>
      <c r="M49" s="1"/>
      <c r="N49" s="5">
        <f t="shared" si="27"/>
        <v>0</v>
      </c>
      <c r="O49" s="14"/>
      <c r="P49" s="1">
        <f>SUM(OSRRefP22_6x_0)</f>
        <v>122.51</v>
      </c>
      <c r="Q49" s="1"/>
      <c r="R49" s="5">
        <f t="shared" si="28"/>
        <v>0</v>
      </c>
      <c r="S49" s="1"/>
      <c r="T49" s="1">
        <f>SUM(OSRRefT22_6x_0)</f>
        <v>500</v>
      </c>
      <c r="U49" s="1"/>
      <c r="V49" s="5">
        <f t="shared" si="29"/>
        <v>0</v>
      </c>
      <c r="W49" s="1"/>
      <c r="X49" s="1">
        <f t="shared" si="30"/>
        <v>-377.49</v>
      </c>
      <c r="Y49" s="1"/>
      <c r="Z49" s="5">
        <f t="shared" si="31"/>
        <v>-0.75497999999999998</v>
      </c>
    </row>
    <row r="50" spans="1:26" s="24" customFormat="1" hidden="1" outlineLevel="2" x14ac:dyDescent="0.25">
      <c r="A50" s="29"/>
      <c r="B50" s="11" t="str">
        <f>CONCATENATE("          ", "6279", " - ", "GENERAL EXPENSE")</f>
        <v xml:space="preserve">          6279 - GENERAL EXPENSE</v>
      </c>
      <c r="C50" s="11"/>
      <c r="D50" s="7"/>
      <c r="E50" s="2"/>
      <c r="F50" s="6">
        <f t="shared" si="24"/>
        <v>0</v>
      </c>
      <c r="G50" s="2"/>
      <c r="H50" s="7"/>
      <c r="I50" s="2"/>
      <c r="J50" s="6">
        <f t="shared" si="25"/>
        <v>0</v>
      </c>
      <c r="K50" s="2"/>
      <c r="L50" s="7">
        <f t="shared" si="26"/>
        <v>0</v>
      </c>
      <c r="M50" s="2"/>
      <c r="N50" s="6">
        <f t="shared" si="27"/>
        <v>0</v>
      </c>
      <c r="O50" s="11"/>
      <c r="P50" s="7">
        <v>122.51</v>
      </c>
      <c r="Q50" s="2"/>
      <c r="R50" s="6">
        <f t="shared" si="28"/>
        <v>0</v>
      </c>
      <c r="S50" s="2"/>
      <c r="T50" s="7">
        <v>500</v>
      </c>
      <c r="U50" s="2"/>
      <c r="V50" s="6">
        <f t="shared" si="29"/>
        <v>0</v>
      </c>
      <c r="W50" s="2"/>
      <c r="X50" s="7">
        <f t="shared" si="30"/>
        <v>-377.49</v>
      </c>
      <c r="Y50" s="2"/>
      <c r="Z50" s="6">
        <f t="shared" si="31"/>
        <v>-0.75497999999999998</v>
      </c>
    </row>
    <row r="51" spans="1:26" s="28" customFormat="1" outlineLevel="1" collapsed="1" x14ac:dyDescent="0.25">
      <c r="A51" s="27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4884.6000000000004</v>
      </c>
      <c r="E51" s="1"/>
      <c r="F51" s="5">
        <f t="shared" si="24"/>
        <v>0</v>
      </c>
      <c r="G51" s="1"/>
      <c r="H51" s="1">
        <f>SUM(OSRRefH22_7x_0)</f>
        <v>4820</v>
      </c>
      <c r="I51" s="1"/>
      <c r="J51" s="5">
        <f t="shared" si="25"/>
        <v>0</v>
      </c>
      <c r="K51" s="1"/>
      <c r="L51" s="1">
        <f t="shared" si="26"/>
        <v>64.600000000000364</v>
      </c>
      <c r="M51" s="1"/>
      <c r="N51" s="5">
        <f t="shared" si="27"/>
        <v>1.3402489626556092E-2</v>
      </c>
      <c r="O51" s="14"/>
      <c r="P51" s="1">
        <f>SUM(OSRRefP22_7x_0)</f>
        <v>14653.8</v>
      </c>
      <c r="Q51" s="1"/>
      <c r="R51" s="5">
        <f t="shared" si="28"/>
        <v>0</v>
      </c>
      <c r="S51" s="1"/>
      <c r="T51" s="1">
        <f>SUM(OSRRefT22_7x_0)</f>
        <v>14460</v>
      </c>
      <c r="U51" s="1"/>
      <c r="V51" s="5">
        <f t="shared" si="29"/>
        <v>0</v>
      </c>
      <c r="W51" s="1"/>
      <c r="X51" s="1">
        <f t="shared" si="30"/>
        <v>193.79999999999927</v>
      </c>
      <c r="Y51" s="1"/>
      <c r="Z51" s="5">
        <f t="shared" si="31"/>
        <v>1.3402489626555967E-2</v>
      </c>
    </row>
    <row r="52" spans="1:26" s="24" customFormat="1" hidden="1" outlineLevel="2" x14ac:dyDescent="0.25">
      <c r="A52" s="29"/>
      <c r="B52" s="11" t="str">
        <f>CONCATENATE("          ", "6314", " - ", "LIABILITY INSURANCE")</f>
        <v xml:space="preserve">          6314 - LIABILITY INSURANCE</v>
      </c>
      <c r="C52" s="11"/>
      <c r="D52" s="7">
        <v>4884.6000000000004</v>
      </c>
      <c r="E52" s="2"/>
      <c r="F52" s="6">
        <f t="shared" si="24"/>
        <v>0</v>
      </c>
      <c r="G52" s="2"/>
      <c r="H52" s="7">
        <v>4820</v>
      </c>
      <c r="I52" s="2"/>
      <c r="J52" s="6">
        <f t="shared" si="25"/>
        <v>0</v>
      </c>
      <c r="K52" s="2"/>
      <c r="L52" s="7">
        <f t="shared" si="26"/>
        <v>64.600000000000364</v>
      </c>
      <c r="M52" s="2"/>
      <c r="N52" s="6">
        <f t="shared" si="27"/>
        <v>1.3402489626556092E-2</v>
      </c>
      <c r="O52" s="11"/>
      <c r="P52" s="7">
        <v>14653.8</v>
      </c>
      <c r="Q52" s="2"/>
      <c r="R52" s="6">
        <f t="shared" si="28"/>
        <v>0</v>
      </c>
      <c r="S52" s="2"/>
      <c r="T52" s="7">
        <v>14460</v>
      </c>
      <c r="U52" s="2"/>
      <c r="V52" s="6">
        <f t="shared" si="29"/>
        <v>0</v>
      </c>
      <c r="W52" s="2"/>
      <c r="X52" s="7">
        <f t="shared" si="30"/>
        <v>193.79999999999927</v>
      </c>
      <c r="Y52" s="2"/>
      <c r="Z52" s="6">
        <f t="shared" si="31"/>
        <v>1.3402489626555967E-2</v>
      </c>
    </row>
    <row r="53" spans="1:26" s="28" customFormat="1" outlineLevel="1" collapsed="1" x14ac:dyDescent="0.25">
      <c r="A53" s="27"/>
      <c r="B53" s="14" t="str">
        <f>CONCATENATE("     ","Repair and Maintenance                            ")</f>
        <v xml:space="preserve">     Repair and Maintenance                            </v>
      </c>
      <c r="C53" s="14"/>
      <c r="D53" s="1">
        <f>SUM(OSRRefD22_8x_0)</f>
        <v>83.83</v>
      </c>
      <c r="E53" s="1"/>
      <c r="F53" s="5">
        <f t="shared" si="24"/>
        <v>0</v>
      </c>
      <c r="G53" s="1"/>
      <c r="H53" s="1">
        <f>SUM(OSRRefH22_8x_0)</f>
        <v>0</v>
      </c>
      <c r="I53" s="1"/>
      <c r="J53" s="5">
        <f t="shared" si="25"/>
        <v>0</v>
      </c>
      <c r="K53" s="1"/>
      <c r="L53" s="1">
        <f t="shared" si="26"/>
        <v>83.83</v>
      </c>
      <c r="M53" s="1"/>
      <c r="N53" s="5">
        <f t="shared" si="27"/>
        <v>0</v>
      </c>
      <c r="O53" s="14"/>
      <c r="P53" s="1">
        <f>SUM(OSRRefP22_8x_0)</f>
        <v>13019.68</v>
      </c>
      <c r="Q53" s="1"/>
      <c r="R53" s="5">
        <f t="shared" si="28"/>
        <v>0</v>
      </c>
      <c r="S53" s="1"/>
      <c r="T53" s="1">
        <f>SUM(OSRRefT22_8x_0)</f>
        <v>0</v>
      </c>
      <c r="U53" s="1"/>
      <c r="V53" s="5">
        <f t="shared" si="29"/>
        <v>0</v>
      </c>
      <c r="W53" s="1"/>
      <c r="X53" s="1">
        <f t="shared" si="30"/>
        <v>13019.68</v>
      </c>
      <c r="Y53" s="1"/>
      <c r="Z53" s="5">
        <f t="shared" si="31"/>
        <v>0</v>
      </c>
    </row>
    <row r="54" spans="1:26" s="24" customFormat="1" hidden="1" outlineLevel="2" x14ac:dyDescent="0.25">
      <c r="A54" s="29"/>
      <c r="B54" s="11" t="str">
        <f>CONCATENATE("          ", "6371", " - ", "COMPUTER SOFTWARE MAINTENANCE")</f>
        <v xml:space="preserve">          6371 - COMPUTER SOFTWARE MAINTENANCE</v>
      </c>
      <c r="C54" s="11"/>
      <c r="D54" s="7"/>
      <c r="E54" s="2"/>
      <c r="F54" s="6">
        <f t="shared" si="24"/>
        <v>0</v>
      </c>
      <c r="G54" s="2"/>
      <c r="H54" s="7"/>
      <c r="I54" s="2"/>
      <c r="J54" s="6">
        <f t="shared" si="25"/>
        <v>0</v>
      </c>
      <c r="K54" s="2"/>
      <c r="L54" s="7">
        <f t="shared" si="26"/>
        <v>0</v>
      </c>
      <c r="M54" s="2"/>
      <c r="N54" s="6">
        <f t="shared" si="27"/>
        <v>0</v>
      </c>
      <c r="O54" s="11"/>
      <c r="P54" s="7">
        <v>5177.72</v>
      </c>
      <c r="Q54" s="2"/>
      <c r="R54" s="6">
        <f t="shared" si="28"/>
        <v>0</v>
      </c>
      <c r="S54" s="2"/>
      <c r="T54" s="7"/>
      <c r="U54" s="2"/>
      <c r="V54" s="6">
        <f t="shared" si="29"/>
        <v>0</v>
      </c>
      <c r="W54" s="2"/>
      <c r="X54" s="7">
        <f t="shared" si="30"/>
        <v>5177.72</v>
      </c>
      <c r="Y54" s="2"/>
      <c r="Z54" s="6">
        <f t="shared" si="31"/>
        <v>0</v>
      </c>
    </row>
    <row r="55" spans="1:26" s="24" customFormat="1" hidden="1" outlineLevel="2" x14ac:dyDescent="0.25">
      <c r="A55" s="29"/>
      <c r="B55" s="11" t="str">
        <f>CONCATENATE("          ", "6373", " - ", "MAINTENANCE CONTRACTS")</f>
        <v xml:space="preserve">          6373 - MAINTENANCE CONTRACTS</v>
      </c>
      <c r="C55" s="11"/>
      <c r="D55" s="7">
        <v>83.83</v>
      </c>
      <c r="E55" s="2"/>
      <c r="F55" s="6">
        <f t="shared" si="24"/>
        <v>0</v>
      </c>
      <c r="G55" s="2"/>
      <c r="H55" s="7"/>
      <c r="I55" s="2"/>
      <c r="J55" s="6">
        <f t="shared" si="25"/>
        <v>0</v>
      </c>
      <c r="K55" s="2"/>
      <c r="L55" s="7">
        <f t="shared" si="26"/>
        <v>83.83</v>
      </c>
      <c r="M55" s="2"/>
      <c r="N55" s="6">
        <f t="shared" si="27"/>
        <v>0</v>
      </c>
      <c r="O55" s="11"/>
      <c r="P55" s="7">
        <v>84.7</v>
      </c>
      <c r="Q55" s="2"/>
      <c r="R55" s="6">
        <f t="shared" si="28"/>
        <v>0</v>
      </c>
      <c r="S55" s="2"/>
      <c r="T55" s="7"/>
      <c r="U55" s="2"/>
      <c r="V55" s="6">
        <f t="shared" si="29"/>
        <v>0</v>
      </c>
      <c r="W55" s="2"/>
      <c r="X55" s="7">
        <f t="shared" si="30"/>
        <v>84.7</v>
      </c>
      <c r="Y55" s="2"/>
      <c r="Z55" s="6">
        <f t="shared" si="31"/>
        <v>0</v>
      </c>
    </row>
    <row r="56" spans="1:26" s="24" customFormat="1" hidden="1" outlineLevel="2" x14ac:dyDescent="0.25">
      <c r="A56" s="29"/>
      <c r="B56" s="11" t="str">
        <f>CONCATENATE("          ", "6375", " - ", "OUTSIDE REPAIRS &amp; MAINTENANCE")</f>
        <v xml:space="preserve">          6375 - OUTSIDE REPAIRS &amp; MAINTENANCE</v>
      </c>
      <c r="C56" s="11"/>
      <c r="D56" s="7"/>
      <c r="E56" s="2"/>
      <c r="F56" s="6">
        <f t="shared" si="24"/>
        <v>0</v>
      </c>
      <c r="G56" s="2"/>
      <c r="H56" s="7"/>
      <c r="I56" s="2"/>
      <c r="J56" s="6">
        <f t="shared" si="25"/>
        <v>0</v>
      </c>
      <c r="K56" s="2"/>
      <c r="L56" s="7">
        <f t="shared" si="26"/>
        <v>0</v>
      </c>
      <c r="M56" s="2"/>
      <c r="N56" s="6">
        <f t="shared" si="27"/>
        <v>0</v>
      </c>
      <c r="O56" s="11"/>
      <c r="P56" s="7">
        <v>7757.26</v>
      </c>
      <c r="Q56" s="2"/>
      <c r="R56" s="6">
        <f t="shared" si="28"/>
        <v>0</v>
      </c>
      <c r="S56" s="2"/>
      <c r="T56" s="7"/>
      <c r="U56" s="2"/>
      <c r="V56" s="6">
        <f t="shared" si="29"/>
        <v>0</v>
      </c>
      <c r="W56" s="2"/>
      <c r="X56" s="7">
        <f t="shared" si="30"/>
        <v>7757.26</v>
      </c>
      <c r="Y56" s="2"/>
      <c r="Z56" s="6">
        <f t="shared" si="31"/>
        <v>0</v>
      </c>
    </row>
    <row r="57" spans="1:26" s="28" customFormat="1" outlineLevel="1" collapsed="1" x14ac:dyDescent="0.25">
      <c r="A57" s="27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SUM(OSRRefD22_9x_0)</f>
        <v>670.1</v>
      </c>
      <c r="E57" s="1"/>
      <c r="F57" s="5">
        <f t="shared" ref="F57:F60" si="32">IF(D$12=0,0,D57/D$12)</f>
        <v>0</v>
      </c>
      <c r="G57" s="1"/>
      <c r="H57" s="1">
        <f>SUM(OSRRefH22_9x_0)</f>
        <v>650</v>
      </c>
      <c r="I57" s="1"/>
      <c r="J57" s="5">
        <f t="shared" ref="J57:J60" si="33">IF(H$12=0,0,H57/H$12)</f>
        <v>0</v>
      </c>
      <c r="K57" s="1"/>
      <c r="L57" s="1">
        <f t="shared" ref="L57:L60" si="34">+D57-H57</f>
        <v>20.100000000000023</v>
      </c>
      <c r="M57" s="1"/>
      <c r="N57" s="5">
        <f t="shared" ref="N57:N60" si="35">IF(H57=0,0,L57/H57)</f>
        <v>3.0923076923076959E-2</v>
      </c>
      <c r="O57" s="14"/>
      <c r="P57" s="1">
        <f>SUM(OSRRefP22_9x_0)</f>
        <v>5684.62</v>
      </c>
      <c r="Q57" s="1"/>
      <c r="R57" s="5">
        <f t="shared" ref="R57:R60" si="36">IF(P$12=0,0,P57/P$12)</f>
        <v>0</v>
      </c>
      <c r="S57" s="1"/>
      <c r="T57" s="1">
        <f>SUM(OSRRefT22_9x_0)</f>
        <v>1950</v>
      </c>
      <c r="U57" s="1"/>
      <c r="V57" s="5">
        <f t="shared" ref="V57:V60" si="37">IF(T$12=0,0,T57/T$12)</f>
        <v>0</v>
      </c>
      <c r="W57" s="1"/>
      <c r="X57" s="1">
        <f t="shared" ref="X57:X60" si="38">+P57-T57</f>
        <v>3734.62</v>
      </c>
      <c r="Y57" s="1"/>
      <c r="Z57" s="5">
        <f t="shared" ref="Z57:Z60" si="39">IF(T57=0,0,X57/T57)</f>
        <v>1.9151897435897436</v>
      </c>
    </row>
    <row r="58" spans="1:26" s="24" customFormat="1" hidden="1" outlineLevel="2" x14ac:dyDescent="0.25">
      <c r="A58" s="29"/>
      <c r="B58" s="11" t="str">
        <f>CONCATENATE("          ", "6282", " - ", "JANITORIAL/EXTERMINATOR EXPENS")</f>
        <v xml:space="preserve">          6282 - JANITORIAL/EXTERMINATOR EXPENS</v>
      </c>
      <c r="C58" s="11"/>
      <c r="D58" s="7">
        <v>670.1</v>
      </c>
      <c r="E58" s="2"/>
      <c r="F58" s="6">
        <f t="shared" si="32"/>
        <v>0</v>
      </c>
      <c r="G58" s="2"/>
      <c r="H58" s="7">
        <v>650</v>
      </c>
      <c r="I58" s="2"/>
      <c r="J58" s="6">
        <f t="shared" si="33"/>
        <v>0</v>
      </c>
      <c r="K58" s="2"/>
      <c r="L58" s="7">
        <f t="shared" si="34"/>
        <v>20.100000000000023</v>
      </c>
      <c r="M58" s="2"/>
      <c r="N58" s="6">
        <f t="shared" si="35"/>
        <v>3.0923076923076959E-2</v>
      </c>
      <c r="O58" s="11"/>
      <c r="P58" s="7">
        <v>2010.3</v>
      </c>
      <c r="Q58" s="2"/>
      <c r="R58" s="6">
        <f t="shared" si="36"/>
        <v>0</v>
      </c>
      <c r="S58" s="2"/>
      <c r="T58" s="7">
        <v>1950</v>
      </c>
      <c r="U58" s="2"/>
      <c r="V58" s="6">
        <f t="shared" si="37"/>
        <v>0</v>
      </c>
      <c r="W58" s="2"/>
      <c r="X58" s="7">
        <f t="shared" si="38"/>
        <v>60.299999999999955</v>
      </c>
      <c r="Y58" s="2"/>
      <c r="Z58" s="6">
        <f t="shared" si="39"/>
        <v>3.09230769230769E-2</v>
      </c>
    </row>
    <row r="59" spans="1:26" s="24" customFormat="1" hidden="1" outlineLevel="2" x14ac:dyDescent="0.25">
      <c r="A59" s="29"/>
      <c r="B59" s="11" t="str">
        <f>CONCATENATE("          ", "6284", " - ", "TRASH REMOVAL EXPENSE")</f>
        <v xml:space="preserve">          6284 - TRASH REMOVAL EXPENSE</v>
      </c>
      <c r="C59" s="11"/>
      <c r="D59" s="7"/>
      <c r="E59" s="2"/>
      <c r="F59" s="6">
        <f t="shared" si="32"/>
        <v>0</v>
      </c>
      <c r="G59" s="2"/>
      <c r="H59" s="7"/>
      <c r="I59" s="2"/>
      <c r="J59" s="6">
        <f t="shared" si="33"/>
        <v>0</v>
      </c>
      <c r="K59" s="2"/>
      <c r="L59" s="7">
        <f t="shared" si="34"/>
        <v>0</v>
      </c>
      <c r="M59" s="2"/>
      <c r="N59" s="6">
        <f t="shared" si="35"/>
        <v>0</v>
      </c>
      <c r="O59" s="11"/>
      <c r="P59" s="7"/>
      <c r="Q59" s="2"/>
      <c r="R59" s="6">
        <f t="shared" si="36"/>
        <v>0</v>
      </c>
      <c r="S59" s="2"/>
      <c r="T59" s="7">
        <v>0</v>
      </c>
      <c r="U59" s="2"/>
      <c r="V59" s="6">
        <f t="shared" si="37"/>
        <v>0</v>
      </c>
      <c r="W59" s="2"/>
      <c r="X59" s="7">
        <f t="shared" si="38"/>
        <v>0</v>
      </c>
      <c r="Y59" s="2"/>
      <c r="Z59" s="6">
        <f t="shared" si="39"/>
        <v>0</v>
      </c>
    </row>
    <row r="60" spans="1:26" s="24" customFormat="1" hidden="1" outlineLevel="2" x14ac:dyDescent="0.25">
      <c r="A60" s="29"/>
      <c r="B60" s="11" t="str">
        <f>CONCATENATE("          ", "6285", " - ", "JANITORIAL SERVICES")</f>
        <v xml:space="preserve">          6285 - JANITORIAL SERVICES</v>
      </c>
      <c r="C60" s="11"/>
      <c r="D60" s="7"/>
      <c r="E60" s="2"/>
      <c r="F60" s="6">
        <f t="shared" si="32"/>
        <v>0</v>
      </c>
      <c r="G60" s="2"/>
      <c r="H60" s="7"/>
      <c r="I60" s="2"/>
      <c r="J60" s="6">
        <f t="shared" si="33"/>
        <v>0</v>
      </c>
      <c r="K60" s="2"/>
      <c r="L60" s="7">
        <f t="shared" si="34"/>
        <v>0</v>
      </c>
      <c r="M60" s="2"/>
      <c r="N60" s="6">
        <f t="shared" si="35"/>
        <v>0</v>
      </c>
      <c r="O60" s="11"/>
      <c r="P60" s="7">
        <v>3674.32</v>
      </c>
      <c r="Q60" s="2"/>
      <c r="R60" s="6">
        <f t="shared" si="36"/>
        <v>0</v>
      </c>
      <c r="S60" s="2"/>
      <c r="T60" s="7"/>
      <c r="U60" s="2"/>
      <c r="V60" s="6">
        <f t="shared" si="37"/>
        <v>0</v>
      </c>
      <c r="W60" s="2"/>
      <c r="X60" s="7">
        <f t="shared" si="38"/>
        <v>3674.32</v>
      </c>
      <c r="Y60" s="2"/>
      <c r="Z60" s="6">
        <f t="shared" si="39"/>
        <v>0</v>
      </c>
    </row>
    <row r="61" spans="1:26" s="28" customFormat="1" outlineLevel="1" collapsed="1" x14ac:dyDescent="0.25">
      <c r="A61" s="27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SUM(OSRRefD22_10x_0)</f>
        <v>0</v>
      </c>
      <c r="E61" s="1"/>
      <c r="F61" s="5">
        <f t="shared" ref="F61:F68" si="40">IF(D$12=0,0,D61/D$12)</f>
        <v>0</v>
      </c>
      <c r="G61" s="1"/>
      <c r="H61" s="1">
        <f>SUM(OSRRefH22_10x_0)</f>
        <v>0</v>
      </c>
      <c r="I61" s="1"/>
      <c r="J61" s="5">
        <f t="shared" ref="J61:J68" si="41">IF(H$12=0,0,H61/H$12)</f>
        <v>0</v>
      </c>
      <c r="K61" s="1"/>
      <c r="L61" s="1">
        <f t="shared" ref="L61:L68" si="42">+D61-H61</f>
        <v>0</v>
      </c>
      <c r="M61" s="1"/>
      <c r="N61" s="5">
        <f t="shared" ref="N61:N68" si="43">IF(H61=0,0,L61/H61)</f>
        <v>0</v>
      </c>
      <c r="O61" s="14"/>
      <c r="P61" s="1">
        <f>SUM(OSRRefP22_10x_0)</f>
        <v>160.16</v>
      </c>
      <c r="Q61" s="1"/>
      <c r="R61" s="5">
        <f t="shared" ref="R61:R68" si="44">IF(P$12=0,0,P61/P$12)</f>
        <v>0</v>
      </c>
      <c r="S61" s="1"/>
      <c r="T61" s="1">
        <f>SUM(OSRRefT22_10x_0)</f>
        <v>0</v>
      </c>
      <c r="U61" s="1"/>
      <c r="V61" s="5">
        <f t="shared" ref="V61:V68" si="45">IF(T$12=0,0,T61/T$12)</f>
        <v>0</v>
      </c>
      <c r="W61" s="1"/>
      <c r="X61" s="1">
        <f t="shared" ref="X61:X68" si="46">+P61-T61</f>
        <v>160.16</v>
      </c>
      <c r="Y61" s="1"/>
      <c r="Z61" s="5">
        <f t="shared" ref="Z61:Z68" si="47">IF(T61=0,0,X61/T61)</f>
        <v>0</v>
      </c>
    </row>
    <row r="62" spans="1:26" s="24" customFormat="1" hidden="1" outlineLevel="2" x14ac:dyDescent="0.25">
      <c r="A62" s="29"/>
      <c r="B62" s="11" t="str">
        <f>CONCATENATE("          ", "6241", " - ", "OFFICE EXPENSE")</f>
        <v xml:space="preserve">          6241 - OFFICE EXPENSE</v>
      </c>
      <c r="C62" s="11"/>
      <c r="D62" s="7"/>
      <c r="E62" s="2"/>
      <c r="F62" s="6">
        <f t="shared" si="40"/>
        <v>0</v>
      </c>
      <c r="G62" s="2"/>
      <c r="H62" s="7"/>
      <c r="I62" s="2"/>
      <c r="J62" s="6">
        <f t="shared" si="41"/>
        <v>0</v>
      </c>
      <c r="K62" s="2"/>
      <c r="L62" s="7">
        <f t="shared" si="42"/>
        <v>0</v>
      </c>
      <c r="M62" s="2"/>
      <c r="N62" s="6">
        <f t="shared" si="43"/>
        <v>0</v>
      </c>
      <c r="O62" s="11"/>
      <c r="P62" s="7">
        <v>160.16</v>
      </c>
      <c r="Q62" s="2"/>
      <c r="R62" s="6">
        <f t="shared" si="44"/>
        <v>0</v>
      </c>
      <c r="S62" s="2"/>
      <c r="T62" s="7"/>
      <c r="U62" s="2"/>
      <c r="V62" s="6">
        <f t="shared" si="45"/>
        <v>0</v>
      </c>
      <c r="W62" s="2"/>
      <c r="X62" s="7">
        <f t="shared" si="46"/>
        <v>160.16</v>
      </c>
      <c r="Y62" s="2"/>
      <c r="Z62" s="6">
        <f t="shared" si="47"/>
        <v>0</v>
      </c>
    </row>
    <row r="63" spans="1:26" s="28" customFormat="1" outlineLevel="1" collapsed="1" x14ac:dyDescent="0.25">
      <c r="A63" s="27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SUM(OSRRefD22_11x_0)</f>
        <v>221.95</v>
      </c>
      <c r="E63" s="1"/>
      <c r="F63" s="5">
        <f t="shared" si="40"/>
        <v>0</v>
      </c>
      <c r="G63" s="1"/>
      <c r="H63" s="1">
        <f>SUM(OSRRefH22_11x_0)</f>
        <v>0</v>
      </c>
      <c r="I63" s="1"/>
      <c r="J63" s="5">
        <f t="shared" si="41"/>
        <v>0</v>
      </c>
      <c r="K63" s="1"/>
      <c r="L63" s="1">
        <f t="shared" si="42"/>
        <v>221.95</v>
      </c>
      <c r="M63" s="1"/>
      <c r="N63" s="5">
        <f t="shared" si="43"/>
        <v>0</v>
      </c>
      <c r="O63" s="14"/>
      <c r="P63" s="1">
        <f>SUM(OSRRefP22_11x_0)</f>
        <v>576.95000000000005</v>
      </c>
      <c r="Q63" s="1"/>
      <c r="R63" s="5">
        <f t="shared" si="44"/>
        <v>0</v>
      </c>
      <c r="S63" s="1"/>
      <c r="T63" s="1">
        <f>SUM(OSRRefT22_11x_0)</f>
        <v>0</v>
      </c>
      <c r="U63" s="1"/>
      <c r="V63" s="5">
        <f t="shared" si="45"/>
        <v>0</v>
      </c>
      <c r="W63" s="1"/>
      <c r="X63" s="1">
        <f t="shared" si="46"/>
        <v>576.95000000000005</v>
      </c>
      <c r="Y63" s="1"/>
      <c r="Z63" s="5">
        <f t="shared" si="47"/>
        <v>0</v>
      </c>
    </row>
    <row r="64" spans="1:26" s="24" customFormat="1" hidden="1" outlineLevel="2" x14ac:dyDescent="0.25">
      <c r="A64" s="29"/>
      <c r="B64" s="11" t="str">
        <f>CONCATENATE("          ", "6309", " - ", "TELEPHONE")</f>
        <v xml:space="preserve">          6309 - TELEPHONE</v>
      </c>
      <c r="C64" s="11"/>
      <c r="D64" s="7">
        <v>221.95</v>
      </c>
      <c r="E64" s="2"/>
      <c r="F64" s="6">
        <f t="shared" si="40"/>
        <v>0</v>
      </c>
      <c r="G64" s="2"/>
      <c r="H64" s="7"/>
      <c r="I64" s="2"/>
      <c r="J64" s="6">
        <f t="shared" si="41"/>
        <v>0</v>
      </c>
      <c r="K64" s="2"/>
      <c r="L64" s="7">
        <f t="shared" si="42"/>
        <v>221.95</v>
      </c>
      <c r="M64" s="2"/>
      <c r="N64" s="6">
        <f t="shared" si="43"/>
        <v>0</v>
      </c>
      <c r="O64" s="11"/>
      <c r="P64" s="7">
        <v>576.95000000000005</v>
      </c>
      <c r="Q64" s="2"/>
      <c r="R64" s="6">
        <f t="shared" si="44"/>
        <v>0</v>
      </c>
      <c r="S64" s="2"/>
      <c r="T64" s="7"/>
      <c r="U64" s="2"/>
      <c r="V64" s="6">
        <f t="shared" si="45"/>
        <v>0</v>
      </c>
      <c r="W64" s="2"/>
      <c r="X64" s="7">
        <f t="shared" si="46"/>
        <v>576.95000000000005</v>
      </c>
      <c r="Y64" s="2"/>
      <c r="Z64" s="6">
        <f t="shared" si="47"/>
        <v>0</v>
      </c>
    </row>
    <row r="65" spans="1:26" s="28" customFormat="1" outlineLevel="1" collapsed="1" x14ac:dyDescent="0.25">
      <c r="A65" s="27"/>
      <c r="B65" s="14" t="str">
        <f>CONCATENATE("     ","Training                                          ")</f>
        <v xml:space="preserve">     Training                                          </v>
      </c>
      <c r="C65" s="14"/>
      <c r="D65" s="1">
        <f>SUM(OSRRefD22_12x_0)</f>
        <v>0</v>
      </c>
      <c r="E65" s="1"/>
      <c r="F65" s="5">
        <f t="shared" si="40"/>
        <v>0</v>
      </c>
      <c r="G65" s="1"/>
      <c r="H65" s="1">
        <f>SUM(OSRRefH22_12x_0)</f>
        <v>0</v>
      </c>
      <c r="I65" s="1"/>
      <c r="J65" s="5">
        <f t="shared" si="41"/>
        <v>0</v>
      </c>
      <c r="K65" s="1"/>
      <c r="L65" s="1">
        <f t="shared" si="42"/>
        <v>0</v>
      </c>
      <c r="M65" s="1"/>
      <c r="N65" s="5">
        <f t="shared" si="43"/>
        <v>0</v>
      </c>
      <c r="O65" s="14"/>
      <c r="P65" s="1">
        <f>SUM(OSRRefP22_12x_0)</f>
        <v>0</v>
      </c>
      <c r="Q65" s="1"/>
      <c r="R65" s="5">
        <f t="shared" si="44"/>
        <v>0</v>
      </c>
      <c r="S65" s="1"/>
      <c r="T65" s="1">
        <f>SUM(OSRRefT22_12x_0)</f>
        <v>0</v>
      </c>
      <c r="U65" s="1"/>
      <c r="V65" s="5">
        <f t="shared" si="45"/>
        <v>0</v>
      </c>
      <c r="W65" s="1"/>
      <c r="X65" s="1">
        <f t="shared" si="46"/>
        <v>0</v>
      </c>
      <c r="Y65" s="1"/>
      <c r="Z65" s="5">
        <f t="shared" si="47"/>
        <v>0</v>
      </c>
    </row>
    <row r="66" spans="1:26" s="24" customFormat="1" hidden="1" outlineLevel="2" x14ac:dyDescent="0.25">
      <c r="A66" s="29"/>
      <c r="B66" s="11" t="str">
        <f>CONCATENATE("          ", "6376", " - ", "TRAINING")</f>
        <v xml:space="preserve">          6376 - TRAINING</v>
      </c>
      <c r="C66" s="11"/>
      <c r="D66" s="7"/>
      <c r="E66" s="2"/>
      <c r="F66" s="6">
        <f t="shared" si="40"/>
        <v>0</v>
      </c>
      <c r="G66" s="2"/>
      <c r="H66" s="7"/>
      <c r="I66" s="2"/>
      <c r="J66" s="6">
        <f t="shared" si="41"/>
        <v>0</v>
      </c>
      <c r="K66" s="2"/>
      <c r="L66" s="7">
        <f t="shared" si="42"/>
        <v>0</v>
      </c>
      <c r="M66" s="2"/>
      <c r="N66" s="6">
        <f t="shared" si="43"/>
        <v>0</v>
      </c>
      <c r="O66" s="11"/>
      <c r="P66" s="7"/>
      <c r="Q66" s="2"/>
      <c r="R66" s="6">
        <f t="shared" si="44"/>
        <v>0</v>
      </c>
      <c r="S66" s="2"/>
      <c r="T66" s="7">
        <v>0</v>
      </c>
      <c r="U66" s="2"/>
      <c r="V66" s="6">
        <f t="shared" si="45"/>
        <v>0</v>
      </c>
      <c r="W66" s="2"/>
      <c r="X66" s="7">
        <f t="shared" si="46"/>
        <v>0</v>
      </c>
      <c r="Y66" s="2"/>
      <c r="Z66" s="6">
        <f t="shared" si="47"/>
        <v>0</v>
      </c>
    </row>
    <row r="67" spans="1:26" s="28" customFormat="1" outlineLevel="1" collapsed="1" x14ac:dyDescent="0.25">
      <c r="A67" s="27"/>
      <c r="B67" s="14" t="str">
        <f>CONCATENATE("     ","Utilities                                         ")</f>
        <v xml:space="preserve">     Utilities                                         </v>
      </c>
      <c r="C67" s="14"/>
      <c r="D67" s="1">
        <f>SUM(OSRRefD22_13x_0)</f>
        <v>5550</v>
      </c>
      <c r="E67" s="1"/>
      <c r="F67" s="5">
        <f t="shared" si="40"/>
        <v>0</v>
      </c>
      <c r="G67" s="1"/>
      <c r="H67" s="1">
        <f>SUM(OSRRefH22_13x_0)</f>
        <v>5550</v>
      </c>
      <c r="I67" s="1"/>
      <c r="J67" s="5">
        <f t="shared" si="41"/>
        <v>0</v>
      </c>
      <c r="K67" s="1"/>
      <c r="L67" s="1">
        <f t="shared" si="42"/>
        <v>0</v>
      </c>
      <c r="M67" s="1"/>
      <c r="N67" s="5">
        <f t="shared" si="43"/>
        <v>0</v>
      </c>
      <c r="O67" s="14"/>
      <c r="P67" s="1">
        <f>SUM(OSRRefP22_13x_0)</f>
        <v>16650</v>
      </c>
      <c r="Q67" s="1"/>
      <c r="R67" s="5">
        <f t="shared" si="44"/>
        <v>0</v>
      </c>
      <c r="S67" s="1"/>
      <c r="T67" s="1">
        <f>SUM(OSRRefT22_13x_0)</f>
        <v>16650</v>
      </c>
      <c r="U67" s="1"/>
      <c r="V67" s="5">
        <f t="shared" si="45"/>
        <v>0</v>
      </c>
      <c r="W67" s="1"/>
      <c r="X67" s="1">
        <f t="shared" si="46"/>
        <v>0</v>
      </c>
      <c r="Y67" s="1"/>
      <c r="Z67" s="5">
        <f t="shared" si="47"/>
        <v>0</v>
      </c>
    </row>
    <row r="68" spans="1:26" s="24" customFormat="1" hidden="1" outlineLevel="2" x14ac:dyDescent="0.25">
      <c r="A68" s="29"/>
      <c r="B68" s="11" t="str">
        <f>CONCATENATE("          ", "6274", " - ", "UTILITIES")</f>
        <v xml:space="preserve">          6274 - UTILITIES</v>
      </c>
      <c r="C68" s="11"/>
      <c r="D68" s="7">
        <v>5550</v>
      </c>
      <c r="E68" s="2"/>
      <c r="F68" s="6">
        <f t="shared" si="40"/>
        <v>0</v>
      </c>
      <c r="G68" s="2"/>
      <c r="H68" s="7">
        <v>5550</v>
      </c>
      <c r="I68" s="2"/>
      <c r="J68" s="6">
        <f t="shared" si="41"/>
        <v>0</v>
      </c>
      <c r="K68" s="2"/>
      <c r="L68" s="7">
        <f t="shared" si="42"/>
        <v>0</v>
      </c>
      <c r="M68" s="2"/>
      <c r="N68" s="6">
        <f t="shared" si="43"/>
        <v>0</v>
      </c>
      <c r="O68" s="11"/>
      <c r="P68" s="7">
        <v>16650</v>
      </c>
      <c r="Q68" s="2"/>
      <c r="R68" s="6">
        <f t="shared" si="44"/>
        <v>0</v>
      </c>
      <c r="S68" s="2"/>
      <c r="T68" s="7">
        <v>16650</v>
      </c>
      <c r="U68" s="2"/>
      <c r="V68" s="6">
        <f t="shared" si="45"/>
        <v>0</v>
      </c>
      <c r="W68" s="2"/>
      <c r="X68" s="7">
        <f t="shared" si="46"/>
        <v>0</v>
      </c>
      <c r="Y68" s="2"/>
      <c r="Z68" s="6">
        <f t="shared" si="47"/>
        <v>0</v>
      </c>
    </row>
    <row r="69" spans="1:26" s="58" customFormat="1" x14ac:dyDescent="0.25">
      <c r="A69" s="36"/>
      <c r="B69" s="36"/>
      <c r="C69" s="36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6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collapsed="1" x14ac:dyDescent="0.25">
      <c r="A70" s="10"/>
      <c r="B70" s="26" t="s">
        <v>293</v>
      </c>
      <c r="C70" s="10"/>
      <c r="D70" s="4">
        <f>SUM(OSRRefD25x_0)</f>
        <v>555.08000000000004</v>
      </c>
      <c r="E70" s="4"/>
      <c r="F70" s="12">
        <f t="shared" ref="F70:F71" si="48">IF(D$12=0,0,D70/D$12)</f>
        <v>0</v>
      </c>
      <c r="G70" s="4"/>
      <c r="H70" s="4">
        <f>SUM(OSRRefH25x_0)</f>
        <v>0</v>
      </c>
      <c r="I70" s="4"/>
      <c r="J70" s="12">
        <f t="shared" ref="J70:J71" si="49">IF(H$12=0,0,H70/H$12)</f>
        <v>0</v>
      </c>
      <c r="K70" s="4"/>
      <c r="L70" s="4">
        <f t="shared" ref="L70:L71" si="50">+D70-H70</f>
        <v>555.08000000000004</v>
      </c>
      <c r="M70" s="4"/>
      <c r="N70" s="12">
        <f t="shared" ref="N70:N71" si="51">IF(H70=0,0,L70/H70)</f>
        <v>0</v>
      </c>
      <c r="O70" s="10"/>
      <c r="P70" s="4">
        <f>SUM(OSRRefP25x_0)</f>
        <v>3011.37</v>
      </c>
      <c r="Q70" s="4"/>
      <c r="R70" s="12">
        <f t="shared" ref="R70:R71" si="52">IF(P$12=0,0,P70/P$12)</f>
        <v>0</v>
      </c>
      <c r="S70" s="4"/>
      <c r="T70" s="4">
        <f>SUM(OSRRefT25x_0)</f>
        <v>0</v>
      </c>
      <c r="U70" s="4"/>
      <c r="V70" s="12">
        <f t="shared" ref="V70:V71" si="53">IF(T$12=0,0,T70/T$12)</f>
        <v>0</v>
      </c>
      <c r="W70" s="4"/>
      <c r="X70" s="4">
        <f t="shared" ref="X70:X71" si="54">+P70-T70</f>
        <v>3011.37</v>
      </c>
      <c r="Y70" s="4"/>
      <c r="Z70" s="12">
        <f t="shared" ref="Z70:Z71" si="55">IF(T70=0,0,X70/T70)</f>
        <v>0</v>
      </c>
    </row>
    <row r="71" spans="1:26" s="24" customFormat="1" hidden="1" outlineLevel="1" x14ac:dyDescent="0.25">
      <c r="A71" s="44"/>
      <c r="B71" s="11" t="str">
        <f>CONCATENATE("          ", "9150", " - ", "MISC. INCOME")</f>
        <v xml:space="preserve">          9150 - MISC. INCOME</v>
      </c>
      <c r="C71" s="11"/>
      <c r="D71" s="2">
        <f>--555.08</f>
        <v>555.08000000000004</v>
      </c>
      <c r="E71" s="2"/>
      <c r="F71" s="19">
        <f t="shared" si="48"/>
        <v>0</v>
      </c>
      <c r="G71" s="2"/>
      <c r="H71" s="2"/>
      <c r="I71" s="2"/>
      <c r="J71" s="19">
        <f t="shared" si="49"/>
        <v>0</v>
      </c>
      <c r="K71" s="2"/>
      <c r="L71" s="2">
        <f t="shared" si="50"/>
        <v>555.08000000000004</v>
      </c>
      <c r="M71" s="2"/>
      <c r="N71" s="19">
        <f t="shared" si="51"/>
        <v>0</v>
      </c>
      <c r="O71" s="11"/>
      <c r="P71" s="2">
        <f>--3011.37</f>
        <v>3011.37</v>
      </c>
      <c r="Q71" s="2"/>
      <c r="R71" s="19">
        <f t="shared" si="52"/>
        <v>0</v>
      </c>
      <c r="S71" s="2"/>
      <c r="T71" s="2"/>
      <c r="U71" s="2"/>
      <c r="V71" s="19">
        <f t="shared" si="53"/>
        <v>0</v>
      </c>
      <c r="W71" s="2"/>
      <c r="X71" s="2">
        <f t="shared" si="54"/>
        <v>3011.37</v>
      </c>
      <c r="Y71" s="2"/>
      <c r="Z71" s="19">
        <f t="shared" si="55"/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5" t="s">
        <v>277</v>
      </c>
      <c r="C73" s="25"/>
      <c r="D73" s="21">
        <f>+D16-D18+D70</f>
        <v>-43141.94999999999</v>
      </c>
      <c r="E73" s="13"/>
      <c r="F73" s="20">
        <f>IF(D$12=0,0,D73/D$12)</f>
        <v>0</v>
      </c>
      <c r="G73" s="13"/>
      <c r="H73" s="21">
        <f>+H16-H18+H70</f>
        <v>-41947.132430769241</v>
      </c>
      <c r="I73" s="13"/>
      <c r="J73" s="20">
        <f>IF(H$12=0,0,H73/H$12)</f>
        <v>0</v>
      </c>
      <c r="K73" s="16"/>
      <c r="L73" s="21">
        <f>+D73-H73</f>
        <v>-1194.8175692307486</v>
      </c>
      <c r="M73" s="16"/>
      <c r="N73" s="20">
        <f>IF(H73=0,0,L73/H73)</f>
        <v>2.8483891508024061E-2</v>
      </c>
      <c r="O73" s="26"/>
      <c r="P73" s="21">
        <f>+P16-P18+P70</f>
        <v>-146743.91</v>
      </c>
      <c r="Q73" s="13"/>
      <c r="R73" s="20">
        <f>IF(P$12=0,0,P73/P$12)</f>
        <v>0</v>
      </c>
      <c r="S73" s="13"/>
      <c r="T73" s="21">
        <f>+T16-T18+T70</f>
        <v>-131676.93040000001</v>
      </c>
      <c r="U73" s="13"/>
      <c r="V73" s="20">
        <f>IF(T$12=0,0,T73/T$12)</f>
        <v>0</v>
      </c>
      <c r="W73" s="16"/>
      <c r="X73" s="21">
        <f>+P73-T73</f>
        <v>-15066.979599999991</v>
      </c>
      <c r="Y73" s="16"/>
      <c r="Z73" s="20">
        <f>IF(T73=0,0,X73/T73)</f>
        <v>0.11442383684241769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2"/>
      <c r="B75" s="10" t="s">
        <v>128</v>
      </c>
      <c r="C75" s="10"/>
      <c r="D75" s="4"/>
      <c r="E75" s="4"/>
      <c r="F75" s="12">
        <f>IF(D$12=0,0,D75/D$12)</f>
        <v>0</v>
      </c>
      <c r="G75" s="4"/>
      <c r="H75" s="4"/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/>
      <c r="Q75" s="4"/>
      <c r="R75" s="12">
        <f>IF(P$12=0,0,P75/P$12)</f>
        <v>0</v>
      </c>
      <c r="S75" s="4"/>
      <c r="T75" s="4"/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5" t="s">
        <v>126</v>
      </c>
      <c r="C77" s="25"/>
      <c r="D77" s="33">
        <f>+D73-D75</f>
        <v>-43141.94999999999</v>
      </c>
      <c r="E77" s="13"/>
      <c r="F77" s="31">
        <f>IF(D$12=0,0,D77/D$12)</f>
        <v>0</v>
      </c>
      <c r="G77" s="13"/>
      <c r="H77" s="33">
        <f>+H73-H75</f>
        <v>-41947.132430769241</v>
      </c>
      <c r="I77" s="13"/>
      <c r="J77" s="31">
        <f>IF(H$12=0,0,H77/H$12)</f>
        <v>0</v>
      </c>
      <c r="K77" s="16"/>
      <c r="L77" s="33">
        <f>D77-H77</f>
        <v>-1194.8175692307486</v>
      </c>
      <c r="M77" s="16"/>
      <c r="N77" s="31">
        <f>IF(H77=0,0,L77/H77)</f>
        <v>2.8483891508024061E-2</v>
      </c>
      <c r="O77" s="26"/>
      <c r="P77" s="33">
        <f>+P73-P75</f>
        <v>-146743.91</v>
      </c>
      <c r="Q77" s="13"/>
      <c r="R77" s="31">
        <f>IF(P$12=0,0,P77/P$12)</f>
        <v>0</v>
      </c>
      <c r="S77" s="13"/>
      <c r="T77" s="33">
        <f>+T73-T75</f>
        <v>-131676.93040000001</v>
      </c>
      <c r="U77" s="13"/>
      <c r="V77" s="31">
        <f>IF(T$12=0,0,T77/T$12)</f>
        <v>0</v>
      </c>
      <c r="W77" s="16"/>
      <c r="X77" s="33">
        <f>P77-T77</f>
        <v>-15066.979599999991</v>
      </c>
      <c r="Y77" s="16"/>
      <c r="Z77" s="31">
        <f>IF(T77=0,0,X77/T77)</f>
        <v>0.11442383684241769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5" t="s">
        <v>294</v>
      </c>
      <c r="C80" s="25"/>
      <c r="D80" s="35">
        <f>SUM(D77:D79)</f>
        <v>-43141.94999999999</v>
      </c>
      <c r="E80" s="13"/>
      <c r="F80" s="34">
        <f>IF(D$12=0,0,D80/D$12)</f>
        <v>0</v>
      </c>
      <c r="G80" s="13"/>
      <c r="H80" s="35">
        <f>SUM(H77:H79)</f>
        <v>-41947.132430769241</v>
      </c>
      <c r="I80" s="13"/>
      <c r="J80" s="34">
        <f>IF(H$12=0,0,H80/H$12)</f>
        <v>0</v>
      </c>
      <c r="K80" s="16"/>
      <c r="L80" s="35">
        <f>+D80-H80</f>
        <v>-1194.8175692307486</v>
      </c>
      <c r="M80" s="16"/>
      <c r="N80" s="34">
        <f>IF(H80=0,0,L80/H80)</f>
        <v>2.8483891508024061E-2</v>
      </c>
      <c r="O80" s="26"/>
      <c r="P80" s="35">
        <f>SUM(P77:P79)</f>
        <v>-146743.91</v>
      </c>
      <c r="Q80" s="13"/>
      <c r="R80" s="34">
        <f>IF(P$12=0,0,P80/P$12)</f>
        <v>0</v>
      </c>
      <c r="S80" s="13"/>
      <c r="T80" s="35">
        <f>SUM(T77:T79)</f>
        <v>-131676.93040000001</v>
      </c>
      <c r="U80" s="13"/>
      <c r="V80" s="34">
        <f>IF(T$12=0,0,T80/T$12)</f>
        <v>0</v>
      </c>
      <c r="W80" s="16"/>
      <c r="X80" s="35">
        <f>+P80-T80</f>
        <v>-15066.979599999991</v>
      </c>
      <c r="Y80" s="16"/>
      <c r="Z80" s="34">
        <f>IF(T80=0,0,X80/T80)</f>
        <v>0.11442383684241769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61">
        <v>44481.978956793981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56" t="s">
        <v>56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A84" s="9"/>
      <c r="B84" s="54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4" x14ac:dyDescent="0.25"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","412", " - ", "Chartroom")</f>
        <v>Department 412 - Chartroom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108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295</v>
      </c>
      <c r="C18" s="10"/>
      <c r="D18" s="22">
        <f>SUM(OSRRefD22x_0)</f>
        <v>673.79</v>
      </c>
      <c r="E18" s="22"/>
      <c r="F18" s="32">
        <f t="shared" ref="F18:F26" si="0">IF(D$12=0,0,D18/D$12)</f>
        <v>0</v>
      </c>
      <c r="G18" s="22"/>
      <c r="H18" s="22">
        <f>SUM(OSRRefH22x_0)</f>
        <v>577</v>
      </c>
      <c r="I18" s="22"/>
      <c r="J18" s="32">
        <f t="shared" ref="J18:J26" si="1">IF(H$12=0,0,H18/H$12)</f>
        <v>0</v>
      </c>
      <c r="K18" s="4"/>
      <c r="L18" s="22">
        <f t="shared" ref="L18:L26" si="2">+D18-H18</f>
        <v>96.789999999999964</v>
      </c>
      <c r="M18" s="4"/>
      <c r="N18" s="32">
        <f t="shared" ref="N18:N26" si="3">IF(H18=0,0,L18/H18)</f>
        <v>0.16774696707105713</v>
      </c>
      <c r="O18" s="10"/>
      <c r="P18" s="22">
        <f>SUM(OSRRefP22x_0)</f>
        <v>1900.51</v>
      </c>
      <c r="Q18" s="22"/>
      <c r="R18" s="32">
        <f t="shared" ref="R18:R26" si="4">IF(P$12=0,0,P18/P$12)</f>
        <v>0</v>
      </c>
      <c r="S18" s="22"/>
      <c r="T18" s="22">
        <f>SUM(OSRRefT22x_0)</f>
        <v>1731</v>
      </c>
      <c r="U18" s="22"/>
      <c r="V18" s="32">
        <f t="shared" ref="V18:V26" si="5">IF(T$12=0,0,T18/T$12)</f>
        <v>0</v>
      </c>
      <c r="W18" s="4"/>
      <c r="X18" s="22">
        <f t="shared" ref="X18:X26" si="6">+P18-T18</f>
        <v>169.51</v>
      </c>
      <c r="Y18" s="4"/>
      <c r="Z18" s="32">
        <f t="shared" ref="Z18:Z26" si="7">IF(T18=0,0,X18/T18)</f>
        <v>9.7926054303870594E-2</v>
      </c>
    </row>
    <row r="19" spans="1:26" s="28" customFormat="1" outlineLevel="1" collapsed="1" x14ac:dyDescent="0.25">
      <c r="A19" s="27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577.36</v>
      </c>
      <c r="E19" s="1"/>
      <c r="F19" s="5">
        <f t="shared" si="0"/>
        <v>0</v>
      </c>
      <c r="G19" s="1"/>
      <c r="H19" s="1">
        <f>SUM(OSRRefH22_0x_0)</f>
        <v>577</v>
      </c>
      <c r="I19" s="1"/>
      <c r="J19" s="5">
        <f t="shared" si="1"/>
        <v>0</v>
      </c>
      <c r="K19" s="1"/>
      <c r="L19" s="1">
        <f t="shared" si="2"/>
        <v>0.36000000000001364</v>
      </c>
      <c r="M19" s="1"/>
      <c r="N19" s="5">
        <f t="shared" si="3"/>
        <v>6.2391681109187809E-4</v>
      </c>
      <c r="O19" s="14"/>
      <c r="P19" s="1">
        <f>SUM(OSRRefP22_0x_0)</f>
        <v>1732.08</v>
      </c>
      <c r="Q19" s="1"/>
      <c r="R19" s="5">
        <f t="shared" si="4"/>
        <v>0</v>
      </c>
      <c r="S19" s="1"/>
      <c r="T19" s="1">
        <f>SUM(OSRRefT22_0x_0)</f>
        <v>1731</v>
      </c>
      <c r="U19" s="1"/>
      <c r="V19" s="5">
        <f t="shared" si="5"/>
        <v>0</v>
      </c>
      <c r="W19" s="1"/>
      <c r="X19" s="1">
        <f t="shared" si="6"/>
        <v>1.0799999999999272</v>
      </c>
      <c r="Y19" s="1"/>
      <c r="Z19" s="5">
        <f t="shared" si="7"/>
        <v>6.2391681109181239E-4</v>
      </c>
    </row>
    <row r="20" spans="1:26" s="24" customFormat="1" hidden="1" outlineLevel="2" x14ac:dyDescent="0.25">
      <c r="A20" s="29"/>
      <c r="B20" s="11" t="str">
        <f>CONCATENATE("          ", "6322", " - ", "EQUIPMENT DEPRECIATION EXPENSE")</f>
        <v xml:space="preserve">          6322 - EQUIPMENT DEPRECIATION EXPENSE</v>
      </c>
      <c r="C20" s="11"/>
      <c r="D20" s="7">
        <v>577.36</v>
      </c>
      <c r="E20" s="2"/>
      <c r="F20" s="6">
        <f t="shared" si="0"/>
        <v>0</v>
      </c>
      <c r="G20" s="2"/>
      <c r="H20" s="7">
        <v>577</v>
      </c>
      <c r="I20" s="2"/>
      <c r="J20" s="6">
        <f t="shared" si="1"/>
        <v>0</v>
      </c>
      <c r="K20" s="2"/>
      <c r="L20" s="7">
        <f t="shared" si="2"/>
        <v>0.36000000000001364</v>
      </c>
      <c r="M20" s="2"/>
      <c r="N20" s="6">
        <f t="shared" si="3"/>
        <v>6.2391681109187809E-4</v>
      </c>
      <c r="O20" s="11"/>
      <c r="P20" s="7">
        <v>1732.08</v>
      </c>
      <c r="Q20" s="2"/>
      <c r="R20" s="6">
        <f t="shared" si="4"/>
        <v>0</v>
      </c>
      <c r="S20" s="2"/>
      <c r="T20" s="7">
        <v>1731</v>
      </c>
      <c r="U20" s="2"/>
      <c r="V20" s="6">
        <f t="shared" si="5"/>
        <v>0</v>
      </c>
      <c r="W20" s="2"/>
      <c r="X20" s="7">
        <f t="shared" si="6"/>
        <v>1.0799999999999272</v>
      </c>
      <c r="Y20" s="2"/>
      <c r="Z20" s="6">
        <f t="shared" si="7"/>
        <v>6.2391681109181239E-4</v>
      </c>
    </row>
    <row r="21" spans="1:26" s="28" customFormat="1" outlineLevel="1" collapsed="1" x14ac:dyDescent="0.25">
      <c r="A21" s="27"/>
      <c r="B21" s="14" t="str">
        <f>CONCATENATE("     ","Repair and Maintenance                            ")</f>
        <v xml:space="preserve">     Repair and Maintenance                            </v>
      </c>
      <c r="C21" s="14"/>
      <c r="D21" s="1">
        <f>SUM(OSRRefD22_1x_0)</f>
        <v>60.43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60.43</v>
      </c>
      <c r="M21" s="1"/>
      <c r="N21" s="5">
        <f t="shared" si="3"/>
        <v>0</v>
      </c>
      <c r="O21" s="14"/>
      <c r="P21" s="1">
        <f>SUM(OSRRefP22_1x_0)</f>
        <v>60.43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60.43</v>
      </c>
      <c r="Y21" s="1"/>
      <c r="Z21" s="5">
        <f t="shared" si="7"/>
        <v>0</v>
      </c>
    </row>
    <row r="22" spans="1:26" s="24" customFormat="1" hidden="1" outlineLevel="2" x14ac:dyDescent="0.25">
      <c r="A22" s="29"/>
      <c r="B22" s="11" t="str">
        <f>CONCATENATE("          ", "6373", " - ", "MAINTENANCE CONTRACTS")</f>
        <v xml:space="preserve">          6373 - MAINTENANCE CONTRACTS</v>
      </c>
      <c r="C22" s="11"/>
      <c r="D22" s="7">
        <v>60.43</v>
      </c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60.43</v>
      </c>
      <c r="M22" s="2"/>
      <c r="N22" s="6">
        <f t="shared" si="3"/>
        <v>0</v>
      </c>
      <c r="O22" s="11"/>
      <c r="P22" s="7">
        <v>60.43</v>
      </c>
      <c r="Q22" s="2"/>
      <c r="R22" s="6">
        <f t="shared" si="4"/>
        <v>0</v>
      </c>
      <c r="S22" s="2"/>
      <c r="T22" s="7"/>
      <c r="U22" s="2"/>
      <c r="V22" s="6">
        <f t="shared" si="5"/>
        <v>0</v>
      </c>
      <c r="W22" s="2"/>
      <c r="X22" s="7">
        <f t="shared" si="6"/>
        <v>60.43</v>
      </c>
      <c r="Y22" s="2"/>
      <c r="Z22" s="6">
        <f t="shared" si="7"/>
        <v>0</v>
      </c>
    </row>
    <row r="23" spans="1:26" s="28" customFormat="1" outlineLevel="1" collapsed="1" x14ac:dyDescent="0.25">
      <c r="A23" s="27"/>
      <c r="B23" s="14" t="str">
        <f>CONCATENATE("     ","Services                                          ")</f>
        <v xml:space="preserve">     Services        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0</v>
      </c>
      <c r="Y23" s="1"/>
      <c r="Z23" s="5">
        <f t="shared" si="7"/>
        <v>0</v>
      </c>
    </row>
    <row r="24" spans="1:26" s="24" customFormat="1" hidden="1" outlineLevel="2" x14ac:dyDescent="0.25">
      <c r="A24" s="29"/>
      <c r="B24" s="11" t="str">
        <f>CONCATENATE("          ", "6284", " - ", "TRASH REMOVAL EXPENSE")</f>
        <v xml:space="preserve">          6284 - TRASH REMOVAL EXPENSE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/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0</v>
      </c>
      <c r="Y24" s="2"/>
      <c r="Z24" s="6">
        <f t="shared" si="7"/>
        <v>0</v>
      </c>
    </row>
    <row r="25" spans="1:26" s="28" customFormat="1" outlineLevel="1" collapsed="1" x14ac:dyDescent="0.25">
      <c r="A25" s="27"/>
      <c r="B25" s="14" t="str">
        <f>CONCATENATE("     ","Telephone/Data Lines                              ")</f>
        <v xml:space="preserve">     Telephone/Data Lines                              </v>
      </c>
      <c r="C25" s="14"/>
      <c r="D25" s="1">
        <f>SUM(OSRRefD22_3x_0)</f>
        <v>36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36</v>
      </c>
      <c r="M25" s="1"/>
      <c r="N25" s="5">
        <f t="shared" si="3"/>
        <v>0</v>
      </c>
      <c r="O25" s="14"/>
      <c r="P25" s="1">
        <f>SUM(OSRRefP22_3x_0)</f>
        <v>108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108</v>
      </c>
      <c r="Y25" s="1"/>
      <c r="Z25" s="5">
        <f t="shared" si="7"/>
        <v>0</v>
      </c>
    </row>
    <row r="26" spans="1:26" s="24" customFormat="1" hidden="1" outlineLevel="2" x14ac:dyDescent="0.25">
      <c r="A26" s="29"/>
      <c r="B26" s="11" t="str">
        <f>CONCATENATE("          ", "6309", " - ", "TELEPHONE")</f>
        <v xml:space="preserve">          6309 - TELEPHONE</v>
      </c>
      <c r="C26" s="11"/>
      <c r="D26" s="7">
        <v>36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36</v>
      </c>
      <c r="M26" s="2"/>
      <c r="N26" s="6">
        <f t="shared" si="3"/>
        <v>0</v>
      </c>
      <c r="O26" s="11"/>
      <c r="P26" s="7">
        <v>108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108</v>
      </c>
      <c r="Y26" s="2"/>
      <c r="Z26" s="6">
        <f t="shared" si="7"/>
        <v>0</v>
      </c>
    </row>
    <row r="27" spans="1:26" s="58" customFormat="1" x14ac:dyDescent="0.25">
      <c r="A27" s="36"/>
      <c r="B27" s="36"/>
      <c r="C27" s="36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6" t="s">
        <v>293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5" t="s">
        <v>277</v>
      </c>
      <c r="C30" s="25"/>
      <c r="D30" s="21">
        <f>+D16-D18+D28</f>
        <v>-673.79</v>
      </c>
      <c r="E30" s="13"/>
      <c r="F30" s="20">
        <f>IF(D$12=0,0,D30/D$12)</f>
        <v>0</v>
      </c>
      <c r="G30" s="13"/>
      <c r="H30" s="21">
        <f>+H16-H18+H28</f>
        <v>-577</v>
      </c>
      <c r="I30" s="13"/>
      <c r="J30" s="20">
        <f>IF(H$12=0,0,H30/H$12)</f>
        <v>0</v>
      </c>
      <c r="K30" s="16"/>
      <c r="L30" s="21">
        <f>+D30-H30</f>
        <v>-96.789999999999964</v>
      </c>
      <c r="M30" s="16"/>
      <c r="N30" s="20">
        <f>IF(H30=0,0,L30/H30)</f>
        <v>0.16774696707105713</v>
      </c>
      <c r="O30" s="26"/>
      <c r="P30" s="21">
        <f>+P16-P18+P28</f>
        <v>-1900.51</v>
      </c>
      <c r="Q30" s="13"/>
      <c r="R30" s="20">
        <f>IF(P$12=0,0,P30/P$12)</f>
        <v>0</v>
      </c>
      <c r="S30" s="13"/>
      <c r="T30" s="21">
        <f>+T16-T18+T28</f>
        <v>-1731</v>
      </c>
      <c r="U30" s="13"/>
      <c r="V30" s="20">
        <f>IF(T$12=0,0,T30/T$12)</f>
        <v>0</v>
      </c>
      <c r="W30" s="16"/>
      <c r="X30" s="21">
        <f>+P30-T30</f>
        <v>-169.51</v>
      </c>
      <c r="Y30" s="16"/>
      <c r="Z30" s="20">
        <f>IF(T30=0,0,X30/T30)</f>
        <v>9.7926054303870594E-2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2"/>
      <c r="B32" s="10" t="s">
        <v>128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5" t="s">
        <v>126</v>
      </c>
      <c r="C34" s="25"/>
      <c r="D34" s="33">
        <f>+D30-D32</f>
        <v>-673.79</v>
      </c>
      <c r="E34" s="13"/>
      <c r="F34" s="31">
        <f>IF(D$12=0,0,D34/D$12)</f>
        <v>0</v>
      </c>
      <c r="G34" s="13"/>
      <c r="H34" s="33">
        <f>+H30-H32</f>
        <v>-577</v>
      </c>
      <c r="I34" s="13"/>
      <c r="J34" s="31">
        <f>IF(H$12=0,0,H34/H$12)</f>
        <v>0</v>
      </c>
      <c r="K34" s="16"/>
      <c r="L34" s="33">
        <f>D34-H34</f>
        <v>-96.789999999999964</v>
      </c>
      <c r="M34" s="16"/>
      <c r="N34" s="31">
        <f>IF(H34=0,0,L34/H34)</f>
        <v>0.16774696707105713</v>
      </c>
      <c r="O34" s="26"/>
      <c r="P34" s="33">
        <f>+P30-P32</f>
        <v>-1900.51</v>
      </c>
      <c r="Q34" s="13"/>
      <c r="R34" s="31">
        <f>IF(P$12=0,0,P34/P$12)</f>
        <v>0</v>
      </c>
      <c r="S34" s="13"/>
      <c r="T34" s="33">
        <f>+T30-T32</f>
        <v>-1731</v>
      </c>
      <c r="U34" s="13"/>
      <c r="V34" s="31">
        <f>IF(T$12=0,0,T34/T$12)</f>
        <v>0</v>
      </c>
      <c r="W34" s="16"/>
      <c r="X34" s="33">
        <f>P34-T34</f>
        <v>-169.51</v>
      </c>
      <c r="Y34" s="16"/>
      <c r="Z34" s="31">
        <f>IF(T34=0,0,X34/T34)</f>
        <v>9.7926054303870594E-2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5" t="s">
        <v>294</v>
      </c>
      <c r="C37" s="25"/>
      <c r="D37" s="35">
        <f>SUM(D34:D36)</f>
        <v>-673.79</v>
      </c>
      <c r="E37" s="13"/>
      <c r="F37" s="34">
        <f>IF(D$12=0,0,D37/D$12)</f>
        <v>0</v>
      </c>
      <c r="G37" s="13"/>
      <c r="H37" s="35">
        <f>SUM(H34:H36)</f>
        <v>-577</v>
      </c>
      <c r="I37" s="13"/>
      <c r="J37" s="34">
        <f>IF(H$12=0,0,H37/H$12)</f>
        <v>0</v>
      </c>
      <c r="K37" s="16"/>
      <c r="L37" s="35">
        <f>+D37-H37</f>
        <v>-96.789999999999964</v>
      </c>
      <c r="M37" s="16"/>
      <c r="N37" s="34">
        <f>IF(H37=0,0,L37/H37)</f>
        <v>0.16774696707105713</v>
      </c>
      <c r="O37" s="26"/>
      <c r="P37" s="35">
        <f>SUM(P34:P36)</f>
        <v>-1900.51</v>
      </c>
      <c r="Q37" s="13"/>
      <c r="R37" s="34">
        <f>IF(P$12=0,0,P37/P$12)</f>
        <v>0</v>
      </c>
      <c r="S37" s="13"/>
      <c r="T37" s="35">
        <f>SUM(T34:T36)</f>
        <v>-1731</v>
      </c>
      <c r="U37" s="13"/>
      <c r="V37" s="34">
        <f>IF(T$12=0,0,T37/T$12)</f>
        <v>0</v>
      </c>
      <c r="W37" s="16"/>
      <c r="X37" s="35">
        <f>+P37-T37</f>
        <v>-169.51</v>
      </c>
      <c r="Y37" s="16"/>
      <c r="Z37" s="34">
        <f>IF(T37=0,0,X37/T37)</f>
        <v>9.7926054303870594E-2</v>
      </c>
    </row>
    <row r="38" spans="1:26" ht="15.75" thickTop="1" x14ac:dyDescent="0.25">
      <c r="A38" s="9"/>
      <c r="C38" s="9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1">
        <v>44481.978956793981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 t="s">
        <v>56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54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92D050"/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","413", " - ", "Beach Walk")</f>
        <v>Department 413 - Beach Walk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108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295</v>
      </c>
      <c r="C18" s="10"/>
      <c r="D18" s="22">
        <f>SUM(OSRRefD22x_0)</f>
        <v>223.12</v>
      </c>
      <c r="E18" s="22"/>
      <c r="F18" s="32">
        <f t="shared" ref="F18:F24" si="0">IF(D$12=0,0,D18/D$12)</f>
        <v>0</v>
      </c>
      <c r="G18" s="22"/>
      <c r="H18" s="22">
        <f>SUM(OSRRefH22x_0)</f>
        <v>58</v>
      </c>
      <c r="I18" s="22"/>
      <c r="J18" s="32">
        <f t="shared" ref="J18:J24" si="1">IF(H$12=0,0,H18/H$12)</f>
        <v>0</v>
      </c>
      <c r="K18" s="4"/>
      <c r="L18" s="22">
        <f t="shared" ref="L18:L24" si="2">+D18-H18</f>
        <v>165.12</v>
      </c>
      <c r="M18" s="4"/>
      <c r="N18" s="32">
        <f t="shared" ref="N18:N24" si="3">IF(H18=0,0,L18/H18)</f>
        <v>2.846896551724138</v>
      </c>
      <c r="O18" s="10"/>
      <c r="P18" s="22">
        <f>SUM(OSRRefP22x_0)</f>
        <v>339.18</v>
      </c>
      <c r="Q18" s="22"/>
      <c r="R18" s="32">
        <f t="shared" ref="R18:R24" si="4">IF(P$12=0,0,P18/P$12)</f>
        <v>0</v>
      </c>
      <c r="S18" s="22"/>
      <c r="T18" s="22">
        <f>SUM(OSRRefT22x_0)</f>
        <v>174</v>
      </c>
      <c r="U18" s="22"/>
      <c r="V18" s="32">
        <f t="shared" ref="V18:V24" si="5">IF(T$12=0,0,T18/T$12)</f>
        <v>0</v>
      </c>
      <c r="W18" s="4"/>
      <c r="X18" s="22">
        <f t="shared" ref="X18:X24" si="6">+P18-T18</f>
        <v>165.18</v>
      </c>
      <c r="Y18" s="4"/>
      <c r="Z18" s="32">
        <f t="shared" ref="Z18:Z24" si="7">IF(T18=0,0,X18/T18)</f>
        <v>0.94931034482758625</v>
      </c>
    </row>
    <row r="19" spans="1:26" s="28" customFormat="1" outlineLevel="1" collapsed="1" x14ac:dyDescent="0.25">
      <c r="A19" s="27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58.03</v>
      </c>
      <c r="E19" s="1"/>
      <c r="F19" s="5">
        <f t="shared" si="0"/>
        <v>0</v>
      </c>
      <c r="G19" s="1"/>
      <c r="H19" s="1">
        <f>SUM(OSRRefH22_0x_0)</f>
        <v>58</v>
      </c>
      <c r="I19" s="1"/>
      <c r="J19" s="5">
        <f t="shared" si="1"/>
        <v>0</v>
      </c>
      <c r="K19" s="1"/>
      <c r="L19" s="1">
        <f t="shared" si="2"/>
        <v>3.0000000000001137E-2</v>
      </c>
      <c r="M19" s="1"/>
      <c r="N19" s="5">
        <f t="shared" si="3"/>
        <v>5.1724137931036447E-4</v>
      </c>
      <c r="O19" s="14"/>
      <c r="P19" s="1">
        <f>SUM(OSRRefP22_0x_0)</f>
        <v>174.09</v>
      </c>
      <c r="Q19" s="1"/>
      <c r="R19" s="5">
        <f t="shared" si="4"/>
        <v>0</v>
      </c>
      <c r="S19" s="1"/>
      <c r="T19" s="1">
        <f>SUM(OSRRefT22_0x_0)</f>
        <v>174</v>
      </c>
      <c r="U19" s="1"/>
      <c r="V19" s="5">
        <f t="shared" si="5"/>
        <v>0</v>
      </c>
      <c r="W19" s="1"/>
      <c r="X19" s="1">
        <f t="shared" si="6"/>
        <v>9.0000000000003411E-2</v>
      </c>
      <c r="Y19" s="1"/>
      <c r="Z19" s="5">
        <f t="shared" si="7"/>
        <v>5.1724137931036447E-4</v>
      </c>
    </row>
    <row r="20" spans="1:26" s="24" customFormat="1" hidden="1" outlineLevel="2" x14ac:dyDescent="0.25">
      <c r="A20" s="29"/>
      <c r="B20" s="11" t="str">
        <f>CONCATENATE("          ", "6322", " - ", "EQUIPMENT DEPRECIATION EXPENSE")</f>
        <v xml:space="preserve">          6322 - EQUIPMENT DEPRECIATION EXPENSE</v>
      </c>
      <c r="C20" s="11"/>
      <c r="D20" s="7">
        <v>58.03</v>
      </c>
      <c r="E20" s="2"/>
      <c r="F20" s="6">
        <f t="shared" si="0"/>
        <v>0</v>
      </c>
      <c r="G20" s="2"/>
      <c r="H20" s="7">
        <v>58</v>
      </c>
      <c r="I20" s="2"/>
      <c r="J20" s="6">
        <f t="shared" si="1"/>
        <v>0</v>
      </c>
      <c r="K20" s="2"/>
      <c r="L20" s="7">
        <f t="shared" si="2"/>
        <v>3.0000000000001137E-2</v>
      </c>
      <c r="M20" s="2"/>
      <c r="N20" s="6">
        <f t="shared" si="3"/>
        <v>5.1724137931036447E-4</v>
      </c>
      <c r="O20" s="11"/>
      <c r="P20" s="7">
        <v>174.09</v>
      </c>
      <c r="Q20" s="2"/>
      <c r="R20" s="6">
        <f t="shared" si="4"/>
        <v>0</v>
      </c>
      <c r="S20" s="2"/>
      <c r="T20" s="7">
        <v>174</v>
      </c>
      <c r="U20" s="2"/>
      <c r="V20" s="6">
        <f t="shared" si="5"/>
        <v>0</v>
      </c>
      <c r="W20" s="2"/>
      <c r="X20" s="7">
        <f t="shared" si="6"/>
        <v>9.0000000000003411E-2</v>
      </c>
      <c r="Y20" s="2"/>
      <c r="Z20" s="6">
        <f t="shared" si="7"/>
        <v>5.1724137931036447E-4</v>
      </c>
    </row>
    <row r="21" spans="1:26" s="28" customFormat="1" outlineLevel="1" collapsed="1" x14ac:dyDescent="0.25">
      <c r="A21" s="27"/>
      <c r="B21" s="14" t="str">
        <f>CONCATENATE("     ","Repair and Maintenance                            ")</f>
        <v xml:space="preserve">     Repair and Maintenance                            </v>
      </c>
      <c r="C21" s="14"/>
      <c r="D21" s="1">
        <f>SUM(OSRRefD22_1x_0)</f>
        <v>165.09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165.09</v>
      </c>
      <c r="M21" s="1"/>
      <c r="N21" s="5">
        <f t="shared" si="3"/>
        <v>0</v>
      </c>
      <c r="O21" s="14"/>
      <c r="P21" s="1">
        <f>SUM(OSRRefP22_1x_0)</f>
        <v>165.09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165.09</v>
      </c>
      <c r="Y21" s="1"/>
      <c r="Z21" s="5">
        <f t="shared" si="7"/>
        <v>0</v>
      </c>
    </row>
    <row r="22" spans="1:26" s="24" customFormat="1" hidden="1" outlineLevel="2" x14ac:dyDescent="0.25">
      <c r="A22" s="29"/>
      <c r="B22" s="11" t="str">
        <f>CONCATENATE("          ", "6373", " - ", "MAINTENANCE CONTRACTS")</f>
        <v xml:space="preserve">          6373 - MAINTENANCE CONTRACTS</v>
      </c>
      <c r="C22" s="11"/>
      <c r="D22" s="7">
        <v>165.09</v>
      </c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165.09</v>
      </c>
      <c r="M22" s="2"/>
      <c r="N22" s="6">
        <f t="shared" si="3"/>
        <v>0</v>
      </c>
      <c r="O22" s="11"/>
      <c r="P22" s="7">
        <v>165.09</v>
      </c>
      <c r="Q22" s="2"/>
      <c r="R22" s="6">
        <f t="shared" si="4"/>
        <v>0</v>
      </c>
      <c r="S22" s="2"/>
      <c r="T22" s="7"/>
      <c r="U22" s="2"/>
      <c r="V22" s="6">
        <f t="shared" si="5"/>
        <v>0</v>
      </c>
      <c r="W22" s="2"/>
      <c r="X22" s="7">
        <f t="shared" si="6"/>
        <v>165.09</v>
      </c>
      <c r="Y22" s="2"/>
      <c r="Z22" s="6">
        <f t="shared" si="7"/>
        <v>0</v>
      </c>
    </row>
    <row r="23" spans="1:26" s="28" customFormat="1" outlineLevel="1" collapsed="1" x14ac:dyDescent="0.25">
      <c r="A23" s="27"/>
      <c r="B23" s="14" t="str">
        <f>CONCATENATE("     ","Services                                          ")</f>
        <v xml:space="preserve">     Services        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0</v>
      </c>
      <c r="Y23" s="1"/>
      <c r="Z23" s="5">
        <f t="shared" si="7"/>
        <v>0</v>
      </c>
    </row>
    <row r="24" spans="1:26" s="24" customFormat="1" hidden="1" outlineLevel="2" x14ac:dyDescent="0.25">
      <c r="A24" s="29"/>
      <c r="B24" s="11" t="str">
        <f>CONCATENATE("          ", "6284", " - ", "TRASH REMOVAL EXPENSE")</f>
        <v xml:space="preserve">          6284 - TRASH REMOVAL EXPENSE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/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0</v>
      </c>
      <c r="Y24" s="2"/>
      <c r="Z24" s="6">
        <f t="shared" si="7"/>
        <v>0</v>
      </c>
    </row>
    <row r="25" spans="1:26" s="58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6" t="s">
        <v>293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5" t="s">
        <v>277</v>
      </c>
      <c r="C28" s="25"/>
      <c r="D28" s="21">
        <f>+D16-D18+D26</f>
        <v>-223.12</v>
      </c>
      <c r="E28" s="13"/>
      <c r="F28" s="20">
        <f>IF(D$12=0,0,D28/D$12)</f>
        <v>0</v>
      </c>
      <c r="G28" s="13"/>
      <c r="H28" s="21">
        <f>+H16-H18+H26</f>
        <v>-58</v>
      </c>
      <c r="I28" s="13"/>
      <c r="J28" s="20">
        <f>IF(H$12=0,0,H28/H$12)</f>
        <v>0</v>
      </c>
      <c r="K28" s="16"/>
      <c r="L28" s="21">
        <f>+D28-H28</f>
        <v>-165.12</v>
      </c>
      <c r="M28" s="16"/>
      <c r="N28" s="20">
        <f>IF(H28=0,0,L28/H28)</f>
        <v>2.846896551724138</v>
      </c>
      <c r="O28" s="26"/>
      <c r="P28" s="21">
        <f>+P16-P18+P26</f>
        <v>-339.18</v>
      </c>
      <c r="Q28" s="13"/>
      <c r="R28" s="20">
        <f>IF(P$12=0,0,P28/P$12)</f>
        <v>0</v>
      </c>
      <c r="S28" s="13"/>
      <c r="T28" s="21">
        <f>+T16-T18+T26</f>
        <v>-174</v>
      </c>
      <c r="U28" s="13"/>
      <c r="V28" s="20">
        <f>IF(T$12=0,0,T28/T$12)</f>
        <v>0</v>
      </c>
      <c r="W28" s="16"/>
      <c r="X28" s="21">
        <f>+P28-T28</f>
        <v>-165.18</v>
      </c>
      <c r="Y28" s="16"/>
      <c r="Z28" s="20">
        <f>IF(T28=0,0,X28/T28)</f>
        <v>0.94931034482758625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2"/>
      <c r="B30" s="10" t="s">
        <v>128</v>
      </c>
      <c r="C30" s="10"/>
      <c r="D30" s="4"/>
      <c r="E30" s="4"/>
      <c r="F30" s="12">
        <f>IF(D$12=0,0,D30/D$12)</f>
        <v>0</v>
      </c>
      <c r="G30" s="4"/>
      <c r="H30" s="4"/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/>
      <c r="Q30" s="4"/>
      <c r="R30" s="12">
        <f>IF(P$12=0,0,P30/P$12)</f>
        <v>0</v>
      </c>
      <c r="S30" s="4"/>
      <c r="T30" s="4"/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5" t="s">
        <v>126</v>
      </c>
      <c r="C32" s="25"/>
      <c r="D32" s="33">
        <f>+D28-D30</f>
        <v>-223.12</v>
      </c>
      <c r="E32" s="13"/>
      <c r="F32" s="31">
        <f>IF(D$12=0,0,D32/D$12)</f>
        <v>0</v>
      </c>
      <c r="G32" s="13"/>
      <c r="H32" s="33">
        <f>+H28-H30</f>
        <v>-58</v>
      </c>
      <c r="I32" s="13"/>
      <c r="J32" s="31">
        <f>IF(H$12=0,0,H32/H$12)</f>
        <v>0</v>
      </c>
      <c r="K32" s="16"/>
      <c r="L32" s="33">
        <f>D32-H32</f>
        <v>-165.12</v>
      </c>
      <c r="M32" s="16"/>
      <c r="N32" s="31">
        <f>IF(H32=0,0,L32/H32)</f>
        <v>2.846896551724138</v>
      </c>
      <c r="O32" s="26"/>
      <c r="P32" s="33">
        <f>+P28-P30</f>
        <v>-339.18</v>
      </c>
      <c r="Q32" s="13"/>
      <c r="R32" s="31">
        <f>IF(P$12=0,0,P32/P$12)</f>
        <v>0</v>
      </c>
      <c r="S32" s="13"/>
      <c r="T32" s="33">
        <f>+T28-T30</f>
        <v>-174</v>
      </c>
      <c r="U32" s="13"/>
      <c r="V32" s="31">
        <f>IF(T$12=0,0,T32/T$12)</f>
        <v>0</v>
      </c>
      <c r="W32" s="16"/>
      <c r="X32" s="33">
        <f>P32-T32</f>
        <v>-165.18</v>
      </c>
      <c r="Y32" s="16"/>
      <c r="Z32" s="31">
        <f>IF(T32=0,0,X32/T32)</f>
        <v>0.94931034482758625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5" t="s">
        <v>294</v>
      </c>
      <c r="C35" s="25"/>
      <c r="D35" s="35">
        <f>SUM(D32:D34)</f>
        <v>-223.12</v>
      </c>
      <c r="E35" s="13"/>
      <c r="F35" s="34">
        <f>IF(D$12=0,0,D35/D$12)</f>
        <v>0</v>
      </c>
      <c r="G35" s="13"/>
      <c r="H35" s="35">
        <f>SUM(H32:H34)</f>
        <v>-58</v>
      </c>
      <c r="I35" s="13"/>
      <c r="J35" s="34">
        <f>IF(H$12=0,0,H35/H$12)</f>
        <v>0</v>
      </c>
      <c r="K35" s="16"/>
      <c r="L35" s="35">
        <f>+D35-H35</f>
        <v>-165.12</v>
      </c>
      <c r="M35" s="16"/>
      <c r="N35" s="34">
        <f>IF(H35=0,0,L35/H35)</f>
        <v>2.846896551724138</v>
      </c>
      <c r="O35" s="26"/>
      <c r="P35" s="35">
        <f>SUM(P32:P34)</f>
        <v>-339.18</v>
      </c>
      <c r="Q35" s="13"/>
      <c r="R35" s="34">
        <f>IF(P$12=0,0,P35/P$12)</f>
        <v>0</v>
      </c>
      <c r="S35" s="13"/>
      <c r="T35" s="35">
        <f>SUM(T32:T34)</f>
        <v>-174</v>
      </c>
      <c r="U35" s="13"/>
      <c r="V35" s="34">
        <f>IF(T$12=0,0,T35/T$12)</f>
        <v>0</v>
      </c>
      <c r="W35" s="16"/>
      <c r="X35" s="35">
        <f>+P35-T35</f>
        <v>-165.18</v>
      </c>
      <c r="Y35" s="16"/>
      <c r="Z35" s="34">
        <f>IF(T35=0,0,X35/T35)</f>
        <v>0.94931034482758625</v>
      </c>
    </row>
    <row r="36" spans="1:26" ht="15.75" thickTop="1" x14ac:dyDescent="0.25">
      <c r="A36" s="9"/>
      <c r="C36" s="9"/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25">
      <c r="A37" s="9"/>
      <c r="B37" s="61">
        <v>44481.978956793981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6" t="s">
        <v>56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4"/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92D050"/>
    <outlinePr summaryBelow="0" summaryRight="0"/>
  </sheetPr>
  <dimension ref="A2:Z3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","414", " - ", "Starbucks UDP")</f>
        <v>Department 414 - Starbucks UDP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108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295</v>
      </c>
      <c r="C18" s="10"/>
      <c r="D18" s="22">
        <f>SUM(OSRRefD22x_0)</f>
        <v>129.16999999999999</v>
      </c>
      <c r="E18" s="22"/>
      <c r="F18" s="32">
        <f t="shared" ref="F18:F22" si="0">IF(D$12=0,0,D18/D$12)</f>
        <v>0</v>
      </c>
      <c r="G18" s="22"/>
      <c r="H18" s="22">
        <f>SUM(OSRRefH22x_0)</f>
        <v>0</v>
      </c>
      <c r="I18" s="22"/>
      <c r="J18" s="32">
        <f t="shared" ref="J18:J22" si="1">IF(H$12=0,0,H18/H$12)</f>
        <v>0</v>
      </c>
      <c r="K18" s="4"/>
      <c r="L18" s="22">
        <f t="shared" ref="L18:L22" si="2">+D18-H18</f>
        <v>129.16999999999999</v>
      </c>
      <c r="M18" s="4"/>
      <c r="N18" s="32">
        <f t="shared" ref="N18:N22" si="3">IF(H18=0,0,L18/H18)</f>
        <v>0</v>
      </c>
      <c r="O18" s="10"/>
      <c r="P18" s="22">
        <f>SUM(OSRRefP22x_0)</f>
        <v>129.16999999999999</v>
      </c>
      <c r="Q18" s="22"/>
      <c r="R18" s="32">
        <f t="shared" ref="R18:R22" si="4">IF(P$12=0,0,P18/P$12)</f>
        <v>0</v>
      </c>
      <c r="S18" s="22"/>
      <c r="T18" s="22">
        <f>SUM(OSRRefT22x_0)</f>
        <v>0</v>
      </c>
      <c r="U18" s="22"/>
      <c r="V18" s="32">
        <f t="shared" ref="V18:V22" si="5">IF(T$12=0,0,T18/T$12)</f>
        <v>0</v>
      </c>
      <c r="W18" s="4"/>
      <c r="X18" s="22">
        <f t="shared" ref="X18:X22" si="6">+P18-T18</f>
        <v>129.16999999999999</v>
      </c>
      <c r="Y18" s="4"/>
      <c r="Z18" s="32">
        <f t="shared" ref="Z18:Z22" si="7">IF(T18=0,0,X18/T18)</f>
        <v>0</v>
      </c>
    </row>
    <row r="19" spans="1:26" s="28" customFormat="1" outlineLevel="1" collapsed="1" x14ac:dyDescent="0.25">
      <c r="A19" s="27"/>
      <c r="B19" s="14" t="str">
        <f>CONCATENATE("     ","Repair and Maintenance                            ")</f>
        <v xml:space="preserve">     Repair and Maintenance                            </v>
      </c>
      <c r="C19" s="14"/>
      <c r="D19" s="1">
        <f>SUM(OSRRefD22_0x_0)</f>
        <v>129.16999999999999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129.16999999999999</v>
      </c>
      <c r="M19" s="1"/>
      <c r="N19" s="5">
        <f t="shared" si="3"/>
        <v>0</v>
      </c>
      <c r="O19" s="14"/>
      <c r="P19" s="1">
        <f>SUM(OSRRefP22_0x_0)</f>
        <v>129.16999999999999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129.16999999999999</v>
      </c>
      <c r="Y19" s="1"/>
      <c r="Z19" s="5">
        <f t="shared" si="7"/>
        <v>0</v>
      </c>
    </row>
    <row r="20" spans="1:26" s="24" customFormat="1" hidden="1" outlineLevel="2" x14ac:dyDescent="0.25">
      <c r="A20" s="29"/>
      <c r="B20" s="11" t="str">
        <f>CONCATENATE("          ", "6373", " - ", "MAINTENANCE CONTRACTS")</f>
        <v xml:space="preserve">          6373 - MAINTENANCE CONTRACTS</v>
      </c>
      <c r="C20" s="11"/>
      <c r="D20" s="7">
        <v>129.16999999999999</v>
      </c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129.16999999999999</v>
      </c>
      <c r="M20" s="2"/>
      <c r="N20" s="6">
        <f t="shared" si="3"/>
        <v>0</v>
      </c>
      <c r="O20" s="11"/>
      <c r="P20" s="7">
        <v>129.16999999999999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129.16999999999999</v>
      </c>
      <c r="Y20" s="2"/>
      <c r="Z20" s="6">
        <f t="shared" si="7"/>
        <v>0</v>
      </c>
    </row>
    <row r="21" spans="1:26" s="28" customFormat="1" outlineLevel="1" collapsed="1" x14ac:dyDescent="0.25">
      <c r="A21" s="27"/>
      <c r="B21" s="14" t="str">
        <f>CONCATENATE("     ","Services                                          ")</f>
        <v xml:space="preserve">     Services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0</v>
      </c>
      <c r="Y21" s="1"/>
      <c r="Z21" s="5">
        <f t="shared" si="7"/>
        <v>0</v>
      </c>
    </row>
    <row r="22" spans="1:26" s="24" customFormat="1" hidden="1" outlineLevel="2" x14ac:dyDescent="0.25">
      <c r="A22" s="29"/>
      <c r="B22" s="11" t="str">
        <f>CONCATENATE("          ", "6284", " - ", "TRASH REMOVAL EXPENSE")</f>
        <v xml:space="preserve">          6284 - TRASH REMOVAL EXPENSE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/>
      <c r="Q22" s="2"/>
      <c r="R22" s="6">
        <f t="shared" si="4"/>
        <v>0</v>
      </c>
      <c r="S22" s="2"/>
      <c r="T22" s="7">
        <v>0</v>
      </c>
      <c r="U22" s="2"/>
      <c r="V22" s="6">
        <f t="shared" si="5"/>
        <v>0</v>
      </c>
      <c r="W22" s="2"/>
      <c r="X22" s="7">
        <f t="shared" si="6"/>
        <v>0</v>
      </c>
      <c r="Y22" s="2"/>
      <c r="Z22" s="6">
        <f t="shared" si="7"/>
        <v>0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6" t="s">
        <v>293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5" t="s">
        <v>277</v>
      </c>
      <c r="C26" s="25"/>
      <c r="D26" s="21">
        <f>+D16-D18+D24</f>
        <v>-129.16999999999999</v>
      </c>
      <c r="E26" s="13"/>
      <c r="F26" s="20">
        <f>IF(D$12=0,0,D26/D$12)</f>
        <v>0</v>
      </c>
      <c r="G26" s="13"/>
      <c r="H26" s="21">
        <f>+H16-H18+H24</f>
        <v>0</v>
      </c>
      <c r="I26" s="13"/>
      <c r="J26" s="20">
        <f>IF(H$12=0,0,H26/H$12)</f>
        <v>0</v>
      </c>
      <c r="K26" s="16"/>
      <c r="L26" s="21">
        <f>+D26-H26</f>
        <v>-129.16999999999999</v>
      </c>
      <c r="M26" s="16"/>
      <c r="N26" s="20">
        <f>IF(H26=0,0,L26/H26)</f>
        <v>0</v>
      </c>
      <c r="O26" s="26"/>
      <c r="P26" s="21">
        <f>+P16-P18+P24</f>
        <v>-129.16999999999999</v>
      </c>
      <c r="Q26" s="13"/>
      <c r="R26" s="20">
        <f>IF(P$12=0,0,P26/P$12)</f>
        <v>0</v>
      </c>
      <c r="S26" s="13"/>
      <c r="T26" s="21">
        <f>+T16-T18+T24</f>
        <v>0</v>
      </c>
      <c r="U26" s="13"/>
      <c r="V26" s="20">
        <f>IF(T$12=0,0,T26/T$12)</f>
        <v>0</v>
      </c>
      <c r="W26" s="16"/>
      <c r="X26" s="21">
        <f>+P26-T26</f>
        <v>-129.16999999999999</v>
      </c>
      <c r="Y26" s="16"/>
      <c r="Z26" s="20">
        <f>IF(T26=0,0,X26/T26)</f>
        <v>0</v>
      </c>
    </row>
    <row r="27" spans="1:26" x14ac:dyDescent="0.25">
      <c r="A27" s="9"/>
      <c r="B27" s="10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128</v>
      </c>
      <c r="C28" s="10"/>
      <c r="D28" s="4"/>
      <c r="E28" s="4"/>
      <c r="F28" s="12">
        <f>IF(D$12=0,0,D28/D$12)</f>
        <v>0</v>
      </c>
      <c r="G28" s="4"/>
      <c r="H28" s="4"/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/>
      <c r="Q28" s="4"/>
      <c r="R28" s="12">
        <f>IF(P$12=0,0,P28/P$12)</f>
        <v>0</v>
      </c>
      <c r="S28" s="4"/>
      <c r="T28" s="4"/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ht="15.75" thickBot="1" x14ac:dyDescent="0.3">
      <c r="A30" s="10"/>
      <c r="B30" s="25" t="s">
        <v>126</v>
      </c>
      <c r="C30" s="25"/>
      <c r="D30" s="33">
        <f>+D26-D28</f>
        <v>-129.16999999999999</v>
      </c>
      <c r="E30" s="13"/>
      <c r="F30" s="31">
        <f>IF(D$12=0,0,D30/D$12)</f>
        <v>0</v>
      </c>
      <c r="G30" s="13"/>
      <c r="H30" s="33">
        <f>+H26-H28</f>
        <v>0</v>
      </c>
      <c r="I30" s="13"/>
      <c r="J30" s="31">
        <f>IF(H$12=0,0,H30/H$12)</f>
        <v>0</v>
      </c>
      <c r="K30" s="16"/>
      <c r="L30" s="33">
        <f>D30-H30</f>
        <v>-129.16999999999999</v>
      </c>
      <c r="M30" s="16"/>
      <c r="N30" s="31">
        <f>IF(H30=0,0,L30/H30)</f>
        <v>0</v>
      </c>
      <c r="O30" s="26"/>
      <c r="P30" s="33">
        <f>+P26-P28</f>
        <v>-129.16999999999999</v>
      </c>
      <c r="Q30" s="13"/>
      <c r="R30" s="31">
        <f>IF(P$12=0,0,P30/P$12)</f>
        <v>0</v>
      </c>
      <c r="S30" s="13"/>
      <c r="T30" s="33">
        <f>+T26-T28</f>
        <v>0</v>
      </c>
      <c r="U30" s="13"/>
      <c r="V30" s="31">
        <f>IF(T$12=0,0,T30/T$12)</f>
        <v>0</v>
      </c>
      <c r="W30" s="16"/>
      <c r="X30" s="33">
        <f>P30-T30</f>
        <v>-129.16999999999999</v>
      </c>
      <c r="Y30" s="16"/>
      <c r="Z30" s="31">
        <f>IF(T30=0,0,X30/T30)</f>
        <v>0</v>
      </c>
    </row>
    <row r="31" spans="1:26" ht="15.75" thickTop="1" x14ac:dyDescent="0.25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.75" thickBot="1" x14ac:dyDescent="0.3">
      <c r="A33" s="10"/>
      <c r="B33" s="25" t="s">
        <v>294</v>
      </c>
      <c r="C33" s="25"/>
      <c r="D33" s="35">
        <f>SUM(D30:D32)</f>
        <v>-129.16999999999999</v>
      </c>
      <c r="E33" s="13"/>
      <c r="F33" s="34">
        <f>IF(D$12=0,0,D33/D$12)</f>
        <v>0</v>
      </c>
      <c r="G33" s="13"/>
      <c r="H33" s="35">
        <f>SUM(H30:H32)</f>
        <v>0</v>
      </c>
      <c r="I33" s="13"/>
      <c r="J33" s="34">
        <f>IF(H$12=0,0,H33/H$12)</f>
        <v>0</v>
      </c>
      <c r="K33" s="16"/>
      <c r="L33" s="35">
        <f>+D33-H33</f>
        <v>-129.16999999999999</v>
      </c>
      <c r="M33" s="16"/>
      <c r="N33" s="34">
        <f>IF(H33=0,0,L33/H33)</f>
        <v>0</v>
      </c>
      <c r="O33" s="26"/>
      <c r="P33" s="35">
        <f>SUM(P30:P32)</f>
        <v>-129.16999999999999</v>
      </c>
      <c r="Q33" s="13"/>
      <c r="R33" s="34">
        <f>IF(P$12=0,0,P33/P$12)</f>
        <v>0</v>
      </c>
      <c r="S33" s="13"/>
      <c r="T33" s="35">
        <f>SUM(T30:T32)</f>
        <v>0</v>
      </c>
      <c r="U33" s="13"/>
      <c r="V33" s="34">
        <f>IF(T$12=0,0,T33/T$12)</f>
        <v>0</v>
      </c>
      <c r="W33" s="16"/>
      <c r="X33" s="35">
        <f>+P33-T33</f>
        <v>-129.16999999999999</v>
      </c>
      <c r="Y33" s="16"/>
      <c r="Z33" s="34">
        <f>IF(T33=0,0,X33/T33)</f>
        <v>0</v>
      </c>
    </row>
    <row r="34" spans="1:26" ht="15.75" thickTop="1" x14ac:dyDescent="0.25">
      <c r="A34" s="9"/>
      <c r="C34" s="9"/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6" x14ac:dyDescent="0.25">
      <c r="A35" s="9"/>
      <c r="B35" s="61">
        <v>44481.978956793981</v>
      </c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6" x14ac:dyDescent="0.25">
      <c r="A36" s="9"/>
      <c r="B36" s="56" t="s">
        <v>56</v>
      </c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25">
      <c r="A37" s="9"/>
      <c r="B37" s="54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92D050"/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","415", " - ", "Outpost")</f>
        <v>Department 415 - Outpost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64314.19</v>
      </c>
      <c r="E12" s="4"/>
      <c r="F12" s="12"/>
      <c r="G12" s="4"/>
      <c r="H12" s="4">
        <f>SUM(OSRRefH13x_0)</f>
        <v>33332</v>
      </c>
      <c r="I12" s="4"/>
      <c r="J12" s="12"/>
      <c r="K12" s="4"/>
      <c r="L12" s="4">
        <f t="shared" ref="L12:L16" si="0">+D12-H12</f>
        <v>30982.190000000002</v>
      </c>
      <c r="M12" s="4"/>
      <c r="N12" s="12">
        <f t="shared" ref="N12:N16" si="1">IF(H12=0,0,L12/H12)</f>
        <v>0.92950288011520465</v>
      </c>
      <c r="O12" s="10"/>
      <c r="P12" s="4">
        <f>SUM(OSRRefP13x_0)</f>
        <v>120932.51999999999</v>
      </c>
      <c r="Q12" s="4"/>
      <c r="R12" s="12"/>
      <c r="S12" s="4"/>
      <c r="T12" s="4">
        <f>SUM(OSRRefT13x_0)</f>
        <v>52566</v>
      </c>
      <c r="U12" s="4"/>
      <c r="V12" s="12"/>
      <c r="W12" s="4"/>
      <c r="X12" s="4">
        <f t="shared" ref="X12:X16" si="2">+P12-T12</f>
        <v>68366.51999999999</v>
      </c>
      <c r="Y12" s="4"/>
      <c r="Z12" s="12">
        <f t="shared" ref="Z12:Z16" si="3">IF(T12=0,0,X12/T12)</f>
        <v>1.3005844081725828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10367</v>
      </c>
      <c r="I13" s="2"/>
      <c r="J13" s="19"/>
      <c r="K13" s="2"/>
      <c r="L13" s="2">
        <f t="shared" si="0"/>
        <v>-10367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16349</v>
      </c>
      <c r="U13" s="2"/>
      <c r="V13" s="19"/>
      <c r="W13" s="2"/>
      <c r="X13" s="2">
        <f t="shared" si="2"/>
        <v>-16349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--24705.18</f>
        <v>24705.18</v>
      </c>
      <c r="E14" s="2"/>
      <c r="F14" s="19"/>
      <c r="G14" s="2"/>
      <c r="H14" s="2"/>
      <c r="I14" s="2"/>
      <c r="J14" s="19"/>
      <c r="K14" s="2"/>
      <c r="L14" s="2">
        <f t="shared" si="0"/>
        <v>24705.18</v>
      </c>
      <c r="M14" s="2"/>
      <c r="N14" s="19">
        <f t="shared" si="1"/>
        <v>0</v>
      </c>
      <c r="O14" s="11"/>
      <c r="P14" s="2">
        <f>--53705.96</f>
        <v>53705.96</v>
      </c>
      <c r="Q14" s="2"/>
      <c r="R14" s="19"/>
      <c r="S14" s="2"/>
      <c r="T14" s="2"/>
      <c r="U14" s="2"/>
      <c r="V14" s="19"/>
      <c r="W14" s="2"/>
      <c r="X14" s="2">
        <f t="shared" si="2"/>
        <v>53705.96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22965</v>
      </c>
      <c r="I15" s="2"/>
      <c r="J15" s="19"/>
      <c r="K15" s="2"/>
      <c r="L15" s="2">
        <f t="shared" si="0"/>
        <v>-22965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36217</v>
      </c>
      <c r="U15" s="2"/>
      <c r="V15" s="19"/>
      <c r="W15" s="2"/>
      <c r="X15" s="2">
        <f t="shared" si="2"/>
        <v>-36217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--39609.01</f>
        <v>39609.01</v>
      </c>
      <c r="E16" s="2"/>
      <c r="F16" s="19"/>
      <c r="G16" s="2"/>
      <c r="H16" s="2"/>
      <c r="I16" s="2"/>
      <c r="J16" s="19"/>
      <c r="K16" s="2"/>
      <c r="L16" s="2">
        <f t="shared" si="0"/>
        <v>39609.01</v>
      </c>
      <c r="M16" s="2"/>
      <c r="N16" s="19">
        <f t="shared" si="1"/>
        <v>0</v>
      </c>
      <c r="O16" s="11"/>
      <c r="P16" s="2">
        <f>--67226.56</f>
        <v>67226.559999999998</v>
      </c>
      <c r="Q16" s="2"/>
      <c r="R16" s="19"/>
      <c r="S16" s="2"/>
      <c r="T16" s="2"/>
      <c r="U16" s="2"/>
      <c r="V16" s="19"/>
      <c r="W16" s="2"/>
      <c r="X16" s="2">
        <f t="shared" si="2"/>
        <v>67226.559999999998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257</v>
      </c>
      <c r="C18" s="10"/>
      <c r="D18" s="4">
        <f>SUM(OSRRefD16x_0)</f>
        <v>26130.34</v>
      </c>
      <c r="E18" s="4"/>
      <c r="F18" s="12">
        <f t="shared" ref="F18:F21" si="4">IF(D$12=0,0,D18/D$12)</f>
        <v>0.40629198626306262</v>
      </c>
      <c r="G18" s="4"/>
      <c r="H18" s="4">
        <f>SUM(OSRRefH16x_0)</f>
        <v>12000</v>
      </c>
      <c r="I18" s="4"/>
      <c r="J18" s="12">
        <f t="shared" ref="J18:J21" si="5">IF(H$12=0,0,H18/H$12)</f>
        <v>0.36001440057602302</v>
      </c>
      <c r="K18" s="4"/>
      <c r="L18" s="4">
        <f t="shared" ref="L18:L21" si="6">+D18-H18</f>
        <v>14130.34</v>
      </c>
      <c r="M18" s="4"/>
      <c r="N18" s="12">
        <f t="shared" ref="N18:N21" si="7">IF(H18=0,0,L18/H18)</f>
        <v>1.1775283333333333</v>
      </c>
      <c r="O18" s="10"/>
      <c r="P18" s="4">
        <f>SUM(OSRRefP16x_0)</f>
        <v>41234.11</v>
      </c>
      <c r="Q18" s="4"/>
      <c r="R18" s="12">
        <f t="shared" ref="R18:R21" si="8">IF(P$12=0,0,P18/P$12)</f>
        <v>0.34096792161446732</v>
      </c>
      <c r="S18" s="4"/>
      <c r="T18" s="4">
        <f>SUM(OSRRefT16x_0)</f>
        <v>19309</v>
      </c>
      <c r="U18" s="4"/>
      <c r="V18" s="12">
        <f t="shared" ref="V18:V21" si="9">IF(T$12=0,0,T18/T$12)</f>
        <v>0.3673286915496709</v>
      </c>
      <c r="W18" s="4"/>
      <c r="X18" s="4">
        <f t="shared" ref="X18:X21" si="10">+P18-T18</f>
        <v>21925.11</v>
      </c>
      <c r="Y18" s="4"/>
      <c r="Z18" s="12">
        <f t="shared" ref="Z18:Z21" si="11">IF(T18=0,0,X18/T18)</f>
        <v>1.1354865606711897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12000</v>
      </c>
      <c r="I19" s="2"/>
      <c r="J19" s="19">
        <f t="shared" si="5"/>
        <v>0.36001440057602302</v>
      </c>
      <c r="K19" s="2"/>
      <c r="L19" s="2">
        <f t="shared" si="6"/>
        <v>-12000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19309</v>
      </c>
      <c r="U19" s="2"/>
      <c r="V19" s="19">
        <f t="shared" si="9"/>
        <v>0.3673286915496709</v>
      </c>
      <c r="W19" s="2"/>
      <c r="X19" s="2">
        <f t="shared" si="10"/>
        <v>-19309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21939.34</v>
      </c>
      <c r="E20" s="2"/>
      <c r="F20" s="19">
        <f t="shared" si="4"/>
        <v>0.34112751789301859</v>
      </c>
      <c r="G20" s="2"/>
      <c r="H20" s="2"/>
      <c r="I20" s="2"/>
      <c r="J20" s="19">
        <f t="shared" si="5"/>
        <v>0</v>
      </c>
      <c r="K20" s="2"/>
      <c r="L20" s="2">
        <f t="shared" si="6"/>
        <v>21939.34</v>
      </c>
      <c r="M20" s="2"/>
      <c r="N20" s="19">
        <f t="shared" si="7"/>
        <v>0</v>
      </c>
      <c r="O20" s="11"/>
      <c r="P20" s="2">
        <v>49495.11</v>
      </c>
      <c r="Q20" s="2"/>
      <c r="R20" s="19">
        <f t="shared" si="8"/>
        <v>0.4092787448735874</v>
      </c>
      <c r="S20" s="2"/>
      <c r="T20" s="2"/>
      <c r="U20" s="2"/>
      <c r="V20" s="19">
        <f t="shared" si="9"/>
        <v>0</v>
      </c>
      <c r="W20" s="2"/>
      <c r="X20" s="2">
        <f t="shared" si="10"/>
        <v>49495.11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4191</v>
      </c>
      <c r="E21" s="2"/>
      <c r="F21" s="19">
        <f t="shared" si="4"/>
        <v>6.5164468370043999E-2</v>
      </c>
      <c r="G21" s="2"/>
      <c r="H21" s="2"/>
      <c r="I21" s="2"/>
      <c r="J21" s="19">
        <f t="shared" si="5"/>
        <v>0</v>
      </c>
      <c r="K21" s="2"/>
      <c r="L21" s="2">
        <f t="shared" si="6"/>
        <v>4191</v>
      </c>
      <c r="M21" s="2"/>
      <c r="N21" s="19">
        <f t="shared" si="7"/>
        <v>0</v>
      </c>
      <c r="O21" s="11"/>
      <c r="P21" s="2">
        <v>-8261</v>
      </c>
      <c r="Q21" s="2"/>
      <c r="R21" s="19">
        <f t="shared" si="8"/>
        <v>-6.8310823259120051E-2</v>
      </c>
      <c r="S21" s="2"/>
      <c r="T21" s="2"/>
      <c r="U21" s="2"/>
      <c r="V21" s="19">
        <f t="shared" si="9"/>
        <v>0</v>
      </c>
      <c r="W21" s="2"/>
      <c r="X21" s="2">
        <f t="shared" si="10"/>
        <v>-8261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108</v>
      </c>
      <c r="C23" s="25"/>
      <c r="D23" s="21">
        <f>D12-D18</f>
        <v>38183.850000000006</v>
      </c>
      <c r="E23" s="13"/>
      <c r="F23" s="20">
        <f>IF(D$12=0,0,D23/D$12)</f>
        <v>0.59370801373693749</v>
      </c>
      <c r="G23" s="13"/>
      <c r="H23" s="21">
        <f>H12-H18</f>
        <v>21332</v>
      </c>
      <c r="I23" s="13"/>
      <c r="J23" s="20">
        <f>IF(H$12=0,0,H23/H$12)</f>
        <v>0.63998559942397693</v>
      </c>
      <c r="K23" s="16"/>
      <c r="L23" s="21">
        <f>+D23-H23</f>
        <v>16851.850000000006</v>
      </c>
      <c r="M23" s="16"/>
      <c r="N23" s="20">
        <f>IF(H23=0,0,L23/H23)</f>
        <v>0.78997984249015596</v>
      </c>
      <c r="O23" s="26"/>
      <c r="P23" s="21">
        <f>P12-P18</f>
        <v>79698.409999999989</v>
      </c>
      <c r="Q23" s="13"/>
      <c r="R23" s="20">
        <f>IF(P$12=0,0,P23/P$12)</f>
        <v>0.65903207838553268</v>
      </c>
      <c r="S23" s="13"/>
      <c r="T23" s="21">
        <f>T12-T18</f>
        <v>33257</v>
      </c>
      <c r="U23" s="13"/>
      <c r="V23" s="20">
        <f>IF(T$12=0,0,T23/T$12)</f>
        <v>0.63267130845032915</v>
      </c>
      <c r="W23" s="16"/>
      <c r="X23" s="21">
        <f>+P23-T23</f>
        <v>46441.409999999989</v>
      </c>
      <c r="Y23" s="16"/>
      <c r="Z23" s="20">
        <f>IF(T23=0,0,X23/T23)</f>
        <v>1.3964401479387796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295</v>
      </c>
      <c r="C25" s="10"/>
      <c r="D25" s="22">
        <f>SUM(OSRRefD22x_0)</f>
        <v>76556.820000000022</v>
      </c>
      <c r="E25" s="22"/>
      <c r="F25" s="32">
        <f t="shared" ref="F25:F35" si="12">IF(D$12=0,0,D25/D$12)</f>
        <v>1.190356591601325</v>
      </c>
      <c r="G25" s="22"/>
      <c r="H25" s="22">
        <f>SUM(OSRRefH22x_0)</f>
        <v>56810.652246522921</v>
      </c>
      <c r="I25" s="22"/>
      <c r="J25" s="32">
        <f t="shared" ref="J25:J35" si="13">IF(H$12=0,0,H25/H$12)</f>
        <v>1.7043877429054037</v>
      </c>
      <c r="K25" s="4"/>
      <c r="L25" s="22">
        <f t="shared" ref="L25:L35" si="14">+D25-H25</f>
        <v>19746.167753477101</v>
      </c>
      <c r="M25" s="4"/>
      <c r="N25" s="32">
        <f t="shared" ref="N25:N35" si="15">IF(H25=0,0,L25/H25)</f>
        <v>0.34757861373939181</v>
      </c>
      <c r="O25" s="10"/>
      <c r="P25" s="22">
        <f>SUM(OSRRefP22x_0)</f>
        <v>215784.25</v>
      </c>
      <c r="Q25" s="22"/>
      <c r="R25" s="32">
        <f t="shared" ref="R25:R35" si="16">IF(P$12=0,0,P25/P$12)</f>
        <v>1.7843360082135062</v>
      </c>
      <c r="S25" s="22"/>
      <c r="T25" s="22">
        <f>SUM(OSRRefT22x_0)</f>
        <v>168583.68325110478</v>
      </c>
      <c r="U25" s="22"/>
      <c r="V25" s="32">
        <f t="shared" ref="V25:V35" si="17">IF(T$12=0,0,T25/T$12)</f>
        <v>3.207086010940623</v>
      </c>
      <c r="W25" s="4"/>
      <c r="X25" s="22">
        <f t="shared" ref="X25:X35" si="18">+P25-T25</f>
        <v>47200.566748895217</v>
      </c>
      <c r="Y25" s="4"/>
      <c r="Z25" s="32">
        <f t="shared" ref="Z25:Z35" si="19">IF(T25=0,0,X25/T25)</f>
        <v>0.27998300807433507</v>
      </c>
    </row>
    <row r="26" spans="1:26" s="28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11611.039999999999</v>
      </c>
      <c r="E26" s="1"/>
      <c r="F26" s="5">
        <f t="shared" si="12"/>
        <v>0.18053620826134945</v>
      </c>
      <c r="G26" s="1"/>
      <c r="H26" s="1">
        <f>SUM(OSRRefH22_0x_0)</f>
        <v>6563.3547065229204</v>
      </c>
      <c r="I26" s="1"/>
      <c r="J26" s="5">
        <f t="shared" si="13"/>
        <v>0.19690851753638908</v>
      </c>
      <c r="K26" s="1"/>
      <c r="L26" s="1">
        <f t="shared" si="14"/>
        <v>5047.6852934770786</v>
      </c>
      <c r="M26" s="1"/>
      <c r="N26" s="5">
        <f t="shared" si="15"/>
        <v>0.76907092777729813</v>
      </c>
      <c r="O26" s="14"/>
      <c r="P26" s="1">
        <f>SUM(OSRRefP22_0x_0)</f>
        <v>32141.100000000002</v>
      </c>
      <c r="Q26" s="1"/>
      <c r="R26" s="5">
        <f t="shared" si="16"/>
        <v>0.26577714579998835</v>
      </c>
      <c r="S26" s="1"/>
      <c r="T26" s="1">
        <f>SUM(OSRRefT22_0x_0)</f>
        <v>20116.362636104797</v>
      </c>
      <c r="U26" s="1"/>
      <c r="V26" s="5">
        <f t="shared" si="17"/>
        <v>0.38268771898384502</v>
      </c>
      <c r="W26" s="1"/>
      <c r="X26" s="1">
        <f t="shared" si="18"/>
        <v>12024.737363895205</v>
      </c>
      <c r="Y26" s="1"/>
      <c r="Z26" s="5">
        <f t="shared" si="19"/>
        <v>0.59775902738565845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7">
        <v>1671.6</v>
      </c>
      <c r="E27" s="2"/>
      <c r="F27" s="6">
        <f t="shared" si="12"/>
        <v>2.5991153740721914E-2</v>
      </c>
      <c r="G27" s="2"/>
      <c r="H27" s="7">
        <v>966.07172544599996</v>
      </c>
      <c r="I27" s="2"/>
      <c r="J27" s="6">
        <f t="shared" si="13"/>
        <v>2.8983311095823833E-2</v>
      </c>
      <c r="K27" s="2"/>
      <c r="L27" s="7">
        <f t="shared" si="14"/>
        <v>705.52827455399995</v>
      </c>
      <c r="M27" s="2"/>
      <c r="N27" s="6">
        <f t="shared" si="15"/>
        <v>0.7303063074620918</v>
      </c>
      <c r="O27" s="11"/>
      <c r="P27" s="7">
        <v>4137.1099999999997</v>
      </c>
      <c r="Q27" s="2"/>
      <c r="R27" s="6">
        <f t="shared" si="16"/>
        <v>3.4210070211056549E-2</v>
      </c>
      <c r="S27" s="2"/>
      <c r="T27" s="7">
        <v>2865.0265719509998</v>
      </c>
      <c r="U27" s="2"/>
      <c r="V27" s="6">
        <f t="shared" si="17"/>
        <v>5.4503416123558954E-2</v>
      </c>
      <c r="W27" s="2"/>
      <c r="X27" s="7">
        <f t="shared" si="18"/>
        <v>1272.0834280489998</v>
      </c>
      <c r="Y27" s="2"/>
      <c r="Z27" s="6">
        <f t="shared" si="19"/>
        <v>0.44400405933504067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>
        <v>1046.57</v>
      </c>
      <c r="E28" s="2"/>
      <c r="F28" s="6">
        <f t="shared" si="12"/>
        <v>1.627276966405081E-2</v>
      </c>
      <c r="G28" s="2"/>
      <c r="H28" s="7">
        <v>642.78165778000005</v>
      </c>
      <c r="I28" s="2"/>
      <c r="J28" s="6">
        <f t="shared" si="13"/>
        <v>1.9284221102244092E-2</v>
      </c>
      <c r="K28" s="2"/>
      <c r="L28" s="7">
        <f t="shared" si="14"/>
        <v>403.78834221999989</v>
      </c>
      <c r="M28" s="2"/>
      <c r="N28" s="6">
        <f t="shared" si="15"/>
        <v>0.62818896173014549</v>
      </c>
      <c r="O28" s="11"/>
      <c r="P28" s="7">
        <v>2206.37</v>
      </c>
      <c r="Q28" s="2"/>
      <c r="R28" s="6">
        <f t="shared" si="16"/>
        <v>1.8244637587970548E-2</v>
      </c>
      <c r="S28" s="2"/>
      <c r="T28" s="7">
        <v>1708.4238599299999</v>
      </c>
      <c r="U28" s="2"/>
      <c r="V28" s="6">
        <f t="shared" si="17"/>
        <v>3.2500549022752345E-2</v>
      </c>
      <c r="W28" s="2"/>
      <c r="X28" s="7">
        <f t="shared" si="18"/>
        <v>497.94614006999996</v>
      </c>
      <c r="Y28" s="2"/>
      <c r="Z28" s="6">
        <f t="shared" si="19"/>
        <v>0.29146522227241811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7">
        <v>5277.63</v>
      </c>
      <c r="E29" s="2"/>
      <c r="F29" s="6">
        <f t="shared" si="12"/>
        <v>8.206011768165003E-2</v>
      </c>
      <c r="G29" s="2"/>
      <c r="H29" s="7">
        <v>3710.67692307692</v>
      </c>
      <c r="I29" s="2"/>
      <c r="J29" s="6">
        <f t="shared" si="13"/>
        <v>0.11132476068273491</v>
      </c>
      <c r="K29" s="2"/>
      <c r="L29" s="7">
        <f t="shared" si="14"/>
        <v>1566.9530769230801</v>
      </c>
      <c r="M29" s="2"/>
      <c r="N29" s="6">
        <f t="shared" si="15"/>
        <v>0.42228227070325253</v>
      </c>
      <c r="O29" s="11"/>
      <c r="P29" s="7">
        <v>15713.27</v>
      </c>
      <c r="Q29" s="2"/>
      <c r="R29" s="6">
        <f t="shared" si="16"/>
        <v>0.12993419801390066</v>
      </c>
      <c r="S29" s="2"/>
      <c r="T29" s="7">
        <v>11770.753846153801</v>
      </c>
      <c r="U29" s="2"/>
      <c r="V29" s="6">
        <f t="shared" si="17"/>
        <v>0.22392333154803107</v>
      </c>
      <c r="W29" s="2"/>
      <c r="X29" s="7">
        <f t="shared" si="18"/>
        <v>3942.5161538461998</v>
      </c>
      <c r="Y29" s="2"/>
      <c r="Z29" s="6">
        <f t="shared" si="19"/>
        <v>0.33494168728491863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>
        <v>75.59</v>
      </c>
      <c r="E30" s="2"/>
      <c r="F30" s="6">
        <f t="shared" si="12"/>
        <v>1.1753238282251554E-3</v>
      </c>
      <c r="G30" s="2"/>
      <c r="H30" s="7">
        <v>35.615870219999998</v>
      </c>
      <c r="I30" s="2"/>
      <c r="J30" s="6">
        <f t="shared" si="13"/>
        <v>1.0685188473538942E-3</v>
      </c>
      <c r="K30" s="2"/>
      <c r="L30" s="7">
        <f t="shared" si="14"/>
        <v>39.974129780000005</v>
      </c>
      <c r="M30" s="2"/>
      <c r="N30" s="6">
        <f t="shared" si="15"/>
        <v>1.1223684703779226</v>
      </c>
      <c r="O30" s="11"/>
      <c r="P30" s="7">
        <v>159.36000000000001</v>
      </c>
      <c r="Q30" s="2"/>
      <c r="R30" s="6">
        <f t="shared" si="16"/>
        <v>1.317759689453259E-3</v>
      </c>
      <c r="S30" s="2"/>
      <c r="T30" s="7">
        <v>94.662008069999999</v>
      </c>
      <c r="U30" s="2"/>
      <c r="V30" s="6">
        <f t="shared" si="17"/>
        <v>1.8008219775139825E-3</v>
      </c>
      <c r="W30" s="2"/>
      <c r="X30" s="7">
        <f t="shared" si="18"/>
        <v>64.697991930000015</v>
      </c>
      <c r="Y30" s="2"/>
      <c r="Z30" s="6">
        <f t="shared" si="19"/>
        <v>0.68346312579971469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7">
        <v>870.61</v>
      </c>
      <c r="E31" s="2"/>
      <c r="F31" s="6">
        <f t="shared" si="12"/>
        <v>1.3536826009936531E-2</v>
      </c>
      <c r="G31" s="2"/>
      <c r="H31" s="7">
        <v>437.49662000000001</v>
      </c>
      <c r="I31" s="2"/>
      <c r="J31" s="6">
        <f t="shared" si="13"/>
        <v>1.3125423616944678E-2</v>
      </c>
      <c r="K31" s="2"/>
      <c r="L31" s="7">
        <f t="shared" si="14"/>
        <v>433.11338000000001</v>
      </c>
      <c r="M31" s="2"/>
      <c r="N31" s="6">
        <f t="shared" si="15"/>
        <v>0.98998108831103659</v>
      </c>
      <c r="O31" s="11"/>
      <c r="P31" s="7">
        <v>2611.83</v>
      </c>
      <c r="Q31" s="2"/>
      <c r="R31" s="6">
        <f t="shared" si="16"/>
        <v>2.159741647656065E-2</v>
      </c>
      <c r="S31" s="2"/>
      <c r="T31" s="7">
        <v>1421.8640150000001</v>
      </c>
      <c r="U31" s="2"/>
      <c r="V31" s="6">
        <f t="shared" si="17"/>
        <v>2.7049119487881901E-2</v>
      </c>
      <c r="W31" s="2"/>
      <c r="X31" s="7">
        <f t="shared" si="18"/>
        <v>1189.9659849999998</v>
      </c>
      <c r="Y31" s="2"/>
      <c r="Z31" s="6">
        <f t="shared" si="19"/>
        <v>0.83690561997941815</v>
      </c>
    </row>
    <row r="32" spans="1:26" s="24" customFormat="1" hidden="1" outlineLevel="2" x14ac:dyDescent="0.25">
      <c r="A32" s="29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9"/>
      <c r="B33" s="11" t="str">
        <f>CONCATENATE("          ", "6118", " - ", "VACATION")</f>
        <v xml:space="preserve">          6118 - VACATION</v>
      </c>
      <c r="C33" s="11"/>
      <c r="D33" s="7">
        <v>1050.3399999999999</v>
      </c>
      <c r="E33" s="2"/>
      <c r="F33" s="6">
        <f t="shared" si="12"/>
        <v>1.6331388143114293E-2</v>
      </c>
      <c r="G33" s="2"/>
      <c r="H33" s="7">
        <v>247.584396</v>
      </c>
      <c r="I33" s="2"/>
      <c r="J33" s="6">
        <f t="shared" si="13"/>
        <v>7.4278289931597264E-3</v>
      </c>
      <c r="K33" s="2"/>
      <c r="L33" s="7">
        <f t="shared" si="14"/>
        <v>802.75560399999995</v>
      </c>
      <c r="M33" s="2"/>
      <c r="N33" s="6">
        <f t="shared" si="15"/>
        <v>3.2423513636941803</v>
      </c>
      <c r="O33" s="11"/>
      <c r="P33" s="7">
        <v>2959.54</v>
      </c>
      <c r="Q33" s="2"/>
      <c r="R33" s="6">
        <f t="shared" si="16"/>
        <v>2.447265632106236E-2</v>
      </c>
      <c r="S33" s="2"/>
      <c r="T33" s="7">
        <v>815.89565100000004</v>
      </c>
      <c r="U33" s="2"/>
      <c r="V33" s="6">
        <f t="shared" si="17"/>
        <v>1.5521356979796827E-2</v>
      </c>
      <c r="W33" s="2"/>
      <c r="X33" s="7">
        <f t="shared" si="18"/>
        <v>2143.6443490000001</v>
      </c>
      <c r="Y33" s="2"/>
      <c r="Z33" s="6">
        <f t="shared" si="19"/>
        <v>2.6273511157617384</v>
      </c>
    </row>
    <row r="34" spans="1:26" s="24" customFormat="1" hidden="1" outlineLevel="2" x14ac:dyDescent="0.25">
      <c r="A34" s="29"/>
      <c r="B34" s="11" t="str">
        <f>CONCATENATE("          ", "6119", " - ", "SICK LEAVE")</f>
        <v xml:space="preserve">          6119 - SICK LEAVE</v>
      </c>
      <c r="C34" s="11"/>
      <c r="D34" s="7">
        <v>953.56</v>
      </c>
      <c r="E34" s="2"/>
      <c r="F34" s="6">
        <f t="shared" si="12"/>
        <v>1.4826588036015068E-2</v>
      </c>
      <c r="G34" s="2"/>
      <c r="H34" s="7">
        <v>252.12751399999999</v>
      </c>
      <c r="I34" s="2"/>
      <c r="J34" s="6">
        <f t="shared" si="13"/>
        <v>7.5641279851194048E-3</v>
      </c>
      <c r="K34" s="2"/>
      <c r="L34" s="7">
        <f t="shared" si="14"/>
        <v>701.43248599999993</v>
      </c>
      <c r="M34" s="2"/>
      <c r="N34" s="6">
        <f t="shared" si="15"/>
        <v>2.7820545043727356</v>
      </c>
      <c r="O34" s="11"/>
      <c r="P34" s="7">
        <v>2709.19</v>
      </c>
      <c r="Q34" s="2"/>
      <c r="R34" s="6">
        <f t="shared" si="16"/>
        <v>2.2402493555910355E-2</v>
      </c>
      <c r="S34" s="2"/>
      <c r="T34" s="7">
        <v>722.73668399999997</v>
      </c>
      <c r="U34" s="2"/>
      <c r="V34" s="6">
        <f t="shared" si="17"/>
        <v>1.3749128409998857E-2</v>
      </c>
      <c r="W34" s="2"/>
      <c r="X34" s="7">
        <f t="shared" si="18"/>
        <v>1986.4533160000001</v>
      </c>
      <c r="Y34" s="2"/>
      <c r="Z34" s="6">
        <f t="shared" si="19"/>
        <v>2.7485159671236503</v>
      </c>
    </row>
    <row r="35" spans="1:26" s="24" customFormat="1" hidden="1" outlineLevel="2" x14ac:dyDescent="0.25">
      <c r="A35" s="29"/>
      <c r="B35" s="11" t="str">
        <f>CONCATENATE("          ", "6156", " - ", "EMPLOYEE MEALS")</f>
        <v xml:space="preserve">          6156 - EMPLOYEE MEALS</v>
      </c>
      <c r="C35" s="11"/>
      <c r="D35" s="7">
        <v>665.14</v>
      </c>
      <c r="E35" s="2"/>
      <c r="F35" s="6">
        <f t="shared" si="12"/>
        <v>1.0342041157635663E-2</v>
      </c>
      <c r="G35" s="2"/>
      <c r="H35" s="7">
        <v>271</v>
      </c>
      <c r="I35" s="2"/>
      <c r="J35" s="6">
        <f t="shared" si="13"/>
        <v>8.1303252130085196E-3</v>
      </c>
      <c r="K35" s="2"/>
      <c r="L35" s="7">
        <f t="shared" si="14"/>
        <v>394.14</v>
      </c>
      <c r="M35" s="2"/>
      <c r="N35" s="6">
        <f t="shared" si="15"/>
        <v>1.454391143911439</v>
      </c>
      <c r="O35" s="11"/>
      <c r="P35" s="7">
        <v>1644.43</v>
      </c>
      <c r="Q35" s="2"/>
      <c r="R35" s="6">
        <f t="shared" si="16"/>
        <v>1.3597913944073937E-2</v>
      </c>
      <c r="S35" s="2"/>
      <c r="T35" s="7">
        <v>717</v>
      </c>
      <c r="U35" s="2"/>
      <c r="V35" s="6">
        <f t="shared" si="17"/>
        <v>1.3639995434311152E-2</v>
      </c>
      <c r="W35" s="2"/>
      <c r="X35" s="7">
        <f t="shared" si="18"/>
        <v>927.43000000000006</v>
      </c>
      <c r="Y35" s="2"/>
      <c r="Z35" s="6">
        <f t="shared" si="19"/>
        <v>1.2934867503486751</v>
      </c>
    </row>
    <row r="36" spans="1:26" s="28" customFormat="1" outlineLevel="1" collapsed="1" x14ac:dyDescent="0.25">
      <c r="A36" s="27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29287.149999999998</v>
      </c>
      <c r="E36" s="1"/>
      <c r="F36" s="5">
        <f t="shared" ref="F36:F46" si="20">IF(D$12=0,0,D36/D$12)</f>
        <v>0.4553761774812059</v>
      </c>
      <c r="G36" s="1"/>
      <c r="H36" s="1">
        <f>SUM(OSRRefH22_1x_0)</f>
        <v>16547.29754</v>
      </c>
      <c r="I36" s="1"/>
      <c r="J36" s="5">
        <f t="shared" ref="J36:J46" si="21">IF(H$12=0,0,H36/H$12)</f>
        <v>0.49643878375135003</v>
      </c>
      <c r="K36" s="1"/>
      <c r="L36" s="1">
        <f t="shared" ref="L36:L46" si="22">+D36-H36</f>
        <v>12739.852459999998</v>
      </c>
      <c r="M36" s="1"/>
      <c r="N36" s="5">
        <f t="shared" ref="N36:N46" si="23">IF(H36=0,0,L36/H36)</f>
        <v>0.76990532316251559</v>
      </c>
      <c r="O36" s="14"/>
      <c r="P36" s="1">
        <f>SUM(OSRRefP22_1x_0)</f>
        <v>66943.260000000009</v>
      </c>
      <c r="Q36" s="1"/>
      <c r="R36" s="5">
        <f t="shared" ref="R36:R46" si="24">IF(P$12=0,0,P36/P$12)</f>
        <v>0.55355879460710833</v>
      </c>
      <c r="S36" s="1"/>
      <c r="T36" s="1">
        <f>SUM(OSRRefT22_1x_0)</f>
        <v>43717.320614999997</v>
      </c>
      <c r="U36" s="1"/>
      <c r="V36" s="5">
        <f t="shared" ref="V36:V46" si="25">IF(T$12=0,0,T36/T$12)</f>
        <v>0.83166534670699688</v>
      </c>
      <c r="W36" s="1"/>
      <c r="X36" s="1">
        <f t="shared" ref="X36:X46" si="26">+P36-T36</f>
        <v>23225.939385000012</v>
      </c>
      <c r="Y36" s="1"/>
      <c r="Z36" s="5">
        <f t="shared" ref="Z36:Z46" si="27">IF(T36=0,0,X36/T36)</f>
        <v>0.53127545463138204</v>
      </c>
    </row>
    <row r="37" spans="1:26" s="24" customFormat="1" hidden="1" outlineLevel="2" x14ac:dyDescent="0.25">
      <c r="A37" s="29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9"/>
      <c r="B38" s="11" t="str">
        <f>CONCATENATE("          ", "6002", " - ", "STAFF SALARIES")</f>
        <v xml:space="preserve">          6002 - STAFF SALARIES</v>
      </c>
      <c r="C38" s="11"/>
      <c r="D38" s="7">
        <v>9304.58</v>
      </c>
      <c r="E38" s="2"/>
      <c r="F38" s="6">
        <f t="shared" si="20"/>
        <v>0.14467382703568216</v>
      </c>
      <c r="G38" s="2"/>
      <c r="H38" s="7">
        <v>4832.8114999999998</v>
      </c>
      <c r="I38" s="2"/>
      <c r="J38" s="6">
        <f t="shared" si="21"/>
        <v>0.14499014460578422</v>
      </c>
      <c r="K38" s="2"/>
      <c r="L38" s="7">
        <f t="shared" si="22"/>
        <v>4471.7685000000001</v>
      </c>
      <c r="M38" s="2"/>
      <c r="N38" s="6">
        <f t="shared" si="23"/>
        <v>0.92529338253726645</v>
      </c>
      <c r="O38" s="11"/>
      <c r="P38" s="7">
        <v>30043.31</v>
      </c>
      <c r="Q38" s="2"/>
      <c r="R38" s="6">
        <f t="shared" si="24"/>
        <v>0.24843036430564752</v>
      </c>
      <c r="S38" s="2"/>
      <c r="T38" s="7">
        <v>15706.637375</v>
      </c>
      <c r="U38" s="2"/>
      <c r="V38" s="6">
        <f t="shared" si="25"/>
        <v>0.29879841294753262</v>
      </c>
      <c r="W38" s="2"/>
      <c r="X38" s="7">
        <f t="shared" si="26"/>
        <v>14336.672625000001</v>
      </c>
      <c r="Y38" s="2"/>
      <c r="Z38" s="6">
        <f t="shared" si="27"/>
        <v>0.91277797294915908</v>
      </c>
    </row>
    <row r="39" spans="1:26" s="24" customFormat="1" hidden="1" outlineLevel="2" x14ac:dyDescent="0.25">
      <c r="A39" s="29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9"/>
      <c r="B40" s="11" t="str">
        <f>CONCATENATE("          ", "6004", " - ", "STAFF HOURLY")</f>
        <v xml:space="preserve">          6004 - STAFF HOURLY</v>
      </c>
      <c r="C40" s="11"/>
      <c r="D40" s="7">
        <v>5113.5600000000004</v>
      </c>
      <c r="E40" s="2"/>
      <c r="F40" s="6">
        <f t="shared" si="20"/>
        <v>7.9509047692274445E-2</v>
      </c>
      <c r="G40" s="2"/>
      <c r="H40" s="7">
        <v>7377.9860399999998</v>
      </c>
      <c r="I40" s="2"/>
      <c r="J40" s="6">
        <f t="shared" si="21"/>
        <v>0.22134843513740549</v>
      </c>
      <c r="K40" s="2"/>
      <c r="L40" s="7">
        <f t="shared" si="22"/>
        <v>-2264.4260399999994</v>
      </c>
      <c r="M40" s="2"/>
      <c r="N40" s="6">
        <f t="shared" si="23"/>
        <v>-0.30691655252847283</v>
      </c>
      <c r="O40" s="11"/>
      <c r="P40" s="7">
        <v>11363.59</v>
      </c>
      <c r="Q40" s="2"/>
      <c r="R40" s="6">
        <f t="shared" si="24"/>
        <v>9.3966370666881016E-2</v>
      </c>
      <c r="S40" s="2"/>
      <c r="T40" s="7">
        <v>19572.183239999998</v>
      </c>
      <c r="U40" s="2"/>
      <c r="V40" s="6">
        <f t="shared" si="25"/>
        <v>0.37233541148270743</v>
      </c>
      <c r="W40" s="2"/>
      <c r="X40" s="7">
        <f t="shared" si="26"/>
        <v>-8208.5932399999983</v>
      </c>
      <c r="Y40" s="2"/>
      <c r="Z40" s="6">
        <f t="shared" si="27"/>
        <v>-0.41940100086657472</v>
      </c>
    </row>
    <row r="41" spans="1:26" s="24" customFormat="1" hidden="1" outlineLevel="2" x14ac:dyDescent="0.25">
      <c r="A41" s="29"/>
      <c r="B41" s="11" t="str">
        <f>CONCATENATE("          ", "6005", " - ", "TEMPORARY WAGES-HOURLY")</f>
        <v xml:space="preserve">          6005 - TEMPORARY WAGES-HOURLY</v>
      </c>
      <c r="C41" s="11"/>
      <c r="D41" s="7">
        <v>7058.85</v>
      </c>
      <c r="E41" s="2"/>
      <c r="F41" s="6">
        <f t="shared" si="20"/>
        <v>0.10975571642898714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7058.85</v>
      </c>
      <c r="M41" s="2"/>
      <c r="N41" s="6">
        <f t="shared" si="23"/>
        <v>0</v>
      </c>
      <c r="O41" s="11"/>
      <c r="P41" s="7">
        <v>12147.9</v>
      </c>
      <c r="Q41" s="2"/>
      <c r="R41" s="6">
        <f t="shared" si="24"/>
        <v>0.10045188837543451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12147.9</v>
      </c>
      <c r="Y41" s="2"/>
      <c r="Z41" s="6">
        <f t="shared" si="27"/>
        <v>0</v>
      </c>
    </row>
    <row r="42" spans="1:26" s="24" customFormat="1" hidden="1" outlineLevel="2" x14ac:dyDescent="0.25">
      <c r="A42" s="29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9"/>
      <c r="B43" s="11" t="str">
        <f>CONCATENATE("          ", "6007", " - ", "STUDENT HOURLY")</f>
        <v xml:space="preserve">          6007 - STUDENT HOURLY</v>
      </c>
      <c r="C43" s="11"/>
      <c r="D43" s="7">
        <v>7810.16</v>
      </c>
      <c r="E43" s="2"/>
      <c r="F43" s="6">
        <f t="shared" si="20"/>
        <v>0.12143758632426219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7810.16</v>
      </c>
      <c r="M43" s="2"/>
      <c r="N43" s="6">
        <f t="shared" si="23"/>
        <v>0</v>
      </c>
      <c r="O43" s="11"/>
      <c r="P43" s="7">
        <v>13388.46</v>
      </c>
      <c r="Q43" s="2"/>
      <c r="R43" s="6">
        <f t="shared" si="24"/>
        <v>0.11071017125914519</v>
      </c>
      <c r="S43" s="2"/>
      <c r="T43" s="7">
        <v>798</v>
      </c>
      <c r="U43" s="2"/>
      <c r="V43" s="6">
        <f t="shared" si="25"/>
        <v>1.5180915420614085E-2</v>
      </c>
      <c r="W43" s="2"/>
      <c r="X43" s="7">
        <f t="shared" si="26"/>
        <v>12590.46</v>
      </c>
      <c r="Y43" s="2"/>
      <c r="Z43" s="6">
        <f t="shared" si="27"/>
        <v>15.77751879699248</v>
      </c>
    </row>
    <row r="44" spans="1:26" s="24" customFormat="1" hidden="1" outlineLevel="2" x14ac:dyDescent="0.25">
      <c r="A44" s="29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0"/>
        <v>0</v>
      </c>
      <c r="G44" s="2"/>
      <c r="H44" s="7">
        <v>4336.5</v>
      </c>
      <c r="I44" s="2"/>
      <c r="J44" s="6">
        <f t="shared" si="21"/>
        <v>0.13010020400816033</v>
      </c>
      <c r="K44" s="2"/>
      <c r="L44" s="7">
        <f t="shared" si="22"/>
        <v>-4336.5</v>
      </c>
      <c r="M44" s="2"/>
      <c r="N44" s="6">
        <f t="shared" si="23"/>
        <v>-1</v>
      </c>
      <c r="O44" s="11"/>
      <c r="P44" s="7"/>
      <c r="Q44" s="2"/>
      <c r="R44" s="6">
        <f t="shared" si="24"/>
        <v>0</v>
      </c>
      <c r="S44" s="2"/>
      <c r="T44" s="7">
        <v>7640.5</v>
      </c>
      <c r="U44" s="2"/>
      <c r="V44" s="6">
        <f t="shared" si="25"/>
        <v>0.14535060685614276</v>
      </c>
      <c r="W44" s="2"/>
      <c r="X44" s="7">
        <f t="shared" si="26"/>
        <v>-7640.5</v>
      </c>
      <c r="Y44" s="2"/>
      <c r="Z44" s="6">
        <f t="shared" si="27"/>
        <v>-1</v>
      </c>
    </row>
    <row r="45" spans="1:26" s="24" customFormat="1" hidden="1" outlineLevel="2" x14ac:dyDescent="0.25">
      <c r="A45" s="29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9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8" customFormat="1" outlineLevel="1" collapsed="1" x14ac:dyDescent="0.25">
      <c r="A47" s="27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66.12</v>
      </c>
      <c r="E47" s="1"/>
      <c r="F47" s="5">
        <f t="shared" ref="F47:F55" si="28">IF(D$12=0,0,D47/D$12)</f>
        <v>1.0280779404980456E-3</v>
      </c>
      <c r="G47" s="1"/>
      <c r="H47" s="1">
        <f>SUM(OSRRefH22_2x_0)</f>
        <v>0</v>
      </c>
      <c r="I47" s="1"/>
      <c r="J47" s="5">
        <f t="shared" ref="J47:J55" si="29">IF(H$12=0,0,H47/H$12)</f>
        <v>0</v>
      </c>
      <c r="K47" s="1"/>
      <c r="L47" s="1">
        <f t="shared" ref="L47:L55" si="30">+D47-H47</f>
        <v>66.12</v>
      </c>
      <c r="M47" s="1"/>
      <c r="N47" s="5">
        <f t="shared" ref="N47:N55" si="31">IF(H47=0,0,L47/H47)</f>
        <v>0</v>
      </c>
      <c r="O47" s="14"/>
      <c r="P47" s="1">
        <f>SUM(OSRRefP22_2x_0)</f>
        <v>209.45</v>
      </c>
      <c r="Q47" s="1"/>
      <c r="R47" s="5">
        <f t="shared" ref="R47:R55" si="32">IF(P$12=0,0,P47/P$12)</f>
        <v>1.7319576239707896E-3</v>
      </c>
      <c r="S47" s="1"/>
      <c r="T47" s="1">
        <f>SUM(OSRRefT22_2x_0)</f>
        <v>0</v>
      </c>
      <c r="U47" s="1"/>
      <c r="V47" s="5">
        <f t="shared" ref="V47:V55" si="33">IF(T$12=0,0,T47/T$12)</f>
        <v>0</v>
      </c>
      <c r="W47" s="1"/>
      <c r="X47" s="1">
        <f t="shared" ref="X47:X55" si="34">+P47-T47</f>
        <v>209.45</v>
      </c>
      <c r="Y47" s="1"/>
      <c r="Z47" s="5">
        <f t="shared" ref="Z47:Z55" si="35">IF(T47=0,0,X47/T47)</f>
        <v>0</v>
      </c>
    </row>
    <row r="48" spans="1:26" s="24" customFormat="1" hidden="1" outlineLevel="2" x14ac:dyDescent="0.25">
      <c r="A48" s="29"/>
      <c r="B48" s="11" t="str">
        <f>CONCATENATE("          ", "6362", " - ", "ADVERTISING EXPENSE")</f>
        <v xml:space="preserve">          6362 - ADVERTISING EXPENSE</v>
      </c>
      <c r="C48" s="11"/>
      <c r="D48" s="7">
        <v>66.12</v>
      </c>
      <c r="E48" s="2"/>
      <c r="F48" s="6">
        <f t="shared" si="28"/>
        <v>1.0280779404980456E-3</v>
      </c>
      <c r="G48" s="2"/>
      <c r="H48" s="7"/>
      <c r="I48" s="2"/>
      <c r="J48" s="6">
        <f t="shared" si="29"/>
        <v>0</v>
      </c>
      <c r="K48" s="2"/>
      <c r="L48" s="7">
        <f t="shared" si="30"/>
        <v>66.12</v>
      </c>
      <c r="M48" s="2"/>
      <c r="N48" s="6">
        <f t="shared" si="31"/>
        <v>0</v>
      </c>
      <c r="O48" s="11"/>
      <c r="P48" s="7">
        <v>209.45</v>
      </c>
      <c r="Q48" s="2"/>
      <c r="R48" s="6">
        <f t="shared" si="32"/>
        <v>1.7319576239707896E-3</v>
      </c>
      <c r="S48" s="2"/>
      <c r="T48" s="7"/>
      <c r="U48" s="2"/>
      <c r="V48" s="6">
        <f t="shared" si="33"/>
        <v>0</v>
      </c>
      <c r="W48" s="2"/>
      <c r="X48" s="7">
        <f t="shared" si="34"/>
        <v>209.45</v>
      </c>
      <c r="Y48" s="2"/>
      <c r="Z48" s="6">
        <f t="shared" si="35"/>
        <v>0</v>
      </c>
    </row>
    <row r="49" spans="1:26" s="28" customFormat="1" outlineLevel="1" collapsed="1" x14ac:dyDescent="0.25">
      <c r="A49" s="27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-15.54</v>
      </c>
      <c r="E49" s="1"/>
      <c r="F49" s="5">
        <f t="shared" si="28"/>
        <v>-2.4162630361977659E-4</v>
      </c>
      <c r="G49" s="1"/>
      <c r="H49" s="1">
        <f>SUM(OSRRefH22_3x_0)</f>
        <v>10</v>
      </c>
      <c r="I49" s="1"/>
      <c r="J49" s="5">
        <f t="shared" si="29"/>
        <v>3.0001200048001918E-4</v>
      </c>
      <c r="K49" s="1"/>
      <c r="L49" s="1">
        <f t="shared" si="30"/>
        <v>-25.54</v>
      </c>
      <c r="M49" s="1"/>
      <c r="N49" s="5">
        <f t="shared" si="31"/>
        <v>-2.5539999999999998</v>
      </c>
      <c r="O49" s="14"/>
      <c r="P49" s="1">
        <f>SUM(OSRRefP22_3x_0)</f>
        <v>-20.78</v>
      </c>
      <c r="Q49" s="1"/>
      <c r="R49" s="5">
        <f t="shared" si="32"/>
        <v>-1.7183136512825503E-4</v>
      </c>
      <c r="S49" s="1"/>
      <c r="T49" s="1">
        <f>SUM(OSRRefT22_3x_0)</f>
        <v>30</v>
      </c>
      <c r="U49" s="1"/>
      <c r="V49" s="5">
        <f t="shared" si="33"/>
        <v>5.7071110603812349E-4</v>
      </c>
      <c r="W49" s="1"/>
      <c r="X49" s="1">
        <f t="shared" si="34"/>
        <v>-50.78</v>
      </c>
      <c r="Y49" s="1"/>
      <c r="Z49" s="5">
        <f t="shared" si="35"/>
        <v>-1.6926666666666668</v>
      </c>
    </row>
    <row r="50" spans="1:26" s="24" customFormat="1" hidden="1" outlineLevel="2" x14ac:dyDescent="0.25">
      <c r="A50" s="29"/>
      <c r="B50" s="11" t="str">
        <f>CONCATENATE("          ", "6272", " - ", "CASH (OVER/SHORT)")</f>
        <v xml:space="preserve">          6272 - CASH (OVER/SHORT)</v>
      </c>
      <c r="C50" s="11"/>
      <c r="D50" s="7">
        <v>-15.54</v>
      </c>
      <c r="E50" s="2"/>
      <c r="F50" s="6">
        <f t="shared" si="28"/>
        <v>-2.4162630361977659E-4</v>
      </c>
      <c r="G50" s="2"/>
      <c r="H50" s="7">
        <v>10</v>
      </c>
      <c r="I50" s="2"/>
      <c r="J50" s="6">
        <f t="shared" si="29"/>
        <v>3.0001200048001918E-4</v>
      </c>
      <c r="K50" s="2"/>
      <c r="L50" s="7">
        <f t="shared" si="30"/>
        <v>-25.54</v>
      </c>
      <c r="M50" s="2"/>
      <c r="N50" s="6">
        <f t="shared" si="31"/>
        <v>-2.5539999999999998</v>
      </c>
      <c r="O50" s="11"/>
      <c r="P50" s="7">
        <v>-20.78</v>
      </c>
      <c r="Q50" s="2"/>
      <c r="R50" s="6">
        <f t="shared" si="32"/>
        <v>-1.7183136512825503E-4</v>
      </c>
      <c r="S50" s="2"/>
      <c r="T50" s="7">
        <v>30</v>
      </c>
      <c r="U50" s="2"/>
      <c r="V50" s="6">
        <f t="shared" si="33"/>
        <v>5.7071110603812349E-4</v>
      </c>
      <c r="W50" s="2"/>
      <c r="X50" s="7">
        <f t="shared" si="34"/>
        <v>-50.78</v>
      </c>
      <c r="Y50" s="2"/>
      <c r="Z50" s="6">
        <f t="shared" si="35"/>
        <v>-1.6926666666666668</v>
      </c>
    </row>
    <row r="51" spans="1:26" s="28" customFormat="1" outlineLevel="1" collapsed="1" x14ac:dyDescent="0.25">
      <c r="A51" s="27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1941.37</v>
      </c>
      <c r="E51" s="1"/>
      <c r="F51" s="5">
        <f t="shared" si="28"/>
        <v>3.0185717957421213E-2</v>
      </c>
      <c r="G51" s="1"/>
      <c r="H51" s="1">
        <f>SUM(OSRRefH22_4x_0)</f>
        <v>1672</v>
      </c>
      <c r="I51" s="1"/>
      <c r="J51" s="5">
        <f t="shared" si="29"/>
        <v>5.0162006480259209E-2</v>
      </c>
      <c r="K51" s="1"/>
      <c r="L51" s="1">
        <f t="shared" si="30"/>
        <v>269.36999999999989</v>
      </c>
      <c r="M51" s="1"/>
      <c r="N51" s="5">
        <f t="shared" si="31"/>
        <v>0.16110645933014348</v>
      </c>
      <c r="O51" s="14"/>
      <c r="P51" s="1">
        <f>SUM(OSRRefP22_4x_0)</f>
        <v>4008.09</v>
      </c>
      <c r="Q51" s="1"/>
      <c r="R51" s="5">
        <f t="shared" si="32"/>
        <v>3.3143194237579769E-2</v>
      </c>
      <c r="S51" s="1"/>
      <c r="T51" s="1">
        <f>SUM(OSRRefT22_4x_0)</f>
        <v>2636</v>
      </c>
      <c r="U51" s="1"/>
      <c r="V51" s="5">
        <f t="shared" si="33"/>
        <v>5.0146482517216449E-2</v>
      </c>
      <c r="W51" s="1"/>
      <c r="X51" s="1">
        <f t="shared" si="34"/>
        <v>1372.0900000000001</v>
      </c>
      <c r="Y51" s="1"/>
      <c r="Z51" s="5">
        <f t="shared" si="35"/>
        <v>0.52051972685887715</v>
      </c>
    </row>
    <row r="52" spans="1:26" s="24" customFormat="1" hidden="1" outlineLevel="2" x14ac:dyDescent="0.25">
      <c r="A52" s="29"/>
      <c r="B52" s="11" t="str">
        <f>CONCATENATE("          ", "6381", " - ", "BANK/CREDIT CARD FEES")</f>
        <v xml:space="preserve">          6381 - BANK/CREDIT CARD FEES</v>
      </c>
      <c r="C52" s="11"/>
      <c r="D52" s="7">
        <v>1941.37</v>
      </c>
      <c r="E52" s="2"/>
      <c r="F52" s="6">
        <f t="shared" si="28"/>
        <v>3.0185717957421213E-2</v>
      </c>
      <c r="G52" s="2"/>
      <c r="H52" s="7">
        <v>1672</v>
      </c>
      <c r="I52" s="2"/>
      <c r="J52" s="6">
        <f t="shared" si="29"/>
        <v>5.0162006480259209E-2</v>
      </c>
      <c r="K52" s="2"/>
      <c r="L52" s="7">
        <f t="shared" si="30"/>
        <v>269.36999999999989</v>
      </c>
      <c r="M52" s="2"/>
      <c r="N52" s="6">
        <f t="shared" si="31"/>
        <v>0.16110645933014348</v>
      </c>
      <c r="O52" s="11"/>
      <c r="P52" s="7">
        <v>4008.09</v>
      </c>
      <c r="Q52" s="2"/>
      <c r="R52" s="6">
        <f t="shared" si="32"/>
        <v>3.3143194237579769E-2</v>
      </c>
      <c r="S52" s="2"/>
      <c r="T52" s="7">
        <v>2636</v>
      </c>
      <c r="U52" s="2"/>
      <c r="V52" s="6">
        <f t="shared" si="33"/>
        <v>5.0146482517216449E-2</v>
      </c>
      <c r="W52" s="2"/>
      <c r="X52" s="7">
        <f t="shared" si="34"/>
        <v>1372.0900000000001</v>
      </c>
      <c r="Y52" s="2"/>
      <c r="Z52" s="6">
        <f t="shared" si="35"/>
        <v>0.52051972685887715</v>
      </c>
    </row>
    <row r="53" spans="1:26" s="28" customFormat="1" outlineLevel="1" collapsed="1" x14ac:dyDescent="0.25">
      <c r="A53" s="27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14007.34</v>
      </c>
      <c r="E53" s="1"/>
      <c r="F53" s="5">
        <f t="shared" si="28"/>
        <v>0.21779548183690101</v>
      </c>
      <c r="G53" s="1"/>
      <c r="H53" s="1">
        <f>SUM(OSRRefH22_5x_0)</f>
        <v>13902</v>
      </c>
      <c r="I53" s="1"/>
      <c r="J53" s="5">
        <f t="shared" si="29"/>
        <v>0.41707668306732271</v>
      </c>
      <c r="K53" s="1"/>
      <c r="L53" s="1">
        <f t="shared" si="30"/>
        <v>105.34000000000015</v>
      </c>
      <c r="M53" s="1"/>
      <c r="N53" s="5">
        <f t="shared" si="31"/>
        <v>7.577327003308887E-3</v>
      </c>
      <c r="O53" s="14"/>
      <c r="P53" s="1">
        <f>SUM(OSRRefP22_5x_0)</f>
        <v>42022.02</v>
      </c>
      <c r="Q53" s="1"/>
      <c r="R53" s="5">
        <f t="shared" si="32"/>
        <v>0.34748320799070426</v>
      </c>
      <c r="S53" s="1"/>
      <c r="T53" s="1">
        <f>SUM(OSRRefT22_5x_0)</f>
        <v>41706</v>
      </c>
      <c r="U53" s="1"/>
      <c r="V53" s="5">
        <f t="shared" si="33"/>
        <v>0.79340257961419924</v>
      </c>
      <c r="W53" s="1"/>
      <c r="X53" s="1">
        <f t="shared" si="34"/>
        <v>316.0199999999968</v>
      </c>
      <c r="Y53" s="1"/>
      <c r="Z53" s="5">
        <f t="shared" si="35"/>
        <v>7.5773270033087994E-3</v>
      </c>
    </row>
    <row r="54" spans="1:26" s="24" customFormat="1" hidden="1" outlineLevel="2" x14ac:dyDescent="0.25">
      <c r="A54" s="29"/>
      <c r="B54" s="11" t="str">
        <f>CONCATENATE("          ", "6321", " - ", "BUILDING DEPRECIATION")</f>
        <v xml:space="preserve">          6321 - BUILDING DEPRECIATION</v>
      </c>
      <c r="C54" s="11"/>
      <c r="D54" s="7">
        <v>10597.26</v>
      </c>
      <c r="E54" s="2"/>
      <c r="F54" s="6">
        <f t="shared" si="28"/>
        <v>0.16477327942713729</v>
      </c>
      <c r="G54" s="2"/>
      <c r="H54" s="7"/>
      <c r="I54" s="2"/>
      <c r="J54" s="6">
        <f t="shared" si="29"/>
        <v>0</v>
      </c>
      <c r="K54" s="2"/>
      <c r="L54" s="7">
        <f t="shared" si="30"/>
        <v>10597.26</v>
      </c>
      <c r="M54" s="2"/>
      <c r="N54" s="6">
        <f t="shared" si="31"/>
        <v>0</v>
      </c>
      <c r="O54" s="11"/>
      <c r="P54" s="7">
        <v>31791.78</v>
      </c>
      <c r="Q54" s="2"/>
      <c r="R54" s="6">
        <f t="shared" si="32"/>
        <v>0.26288859274577259</v>
      </c>
      <c r="S54" s="2"/>
      <c r="T54" s="7"/>
      <c r="U54" s="2"/>
      <c r="V54" s="6">
        <f t="shared" si="33"/>
        <v>0</v>
      </c>
      <c r="W54" s="2"/>
      <c r="X54" s="7">
        <f t="shared" si="34"/>
        <v>31791.78</v>
      </c>
      <c r="Y54" s="2"/>
      <c r="Z54" s="6">
        <f t="shared" si="35"/>
        <v>0</v>
      </c>
    </row>
    <row r="55" spans="1:26" s="24" customFormat="1" hidden="1" outlineLevel="2" x14ac:dyDescent="0.25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3410.08</v>
      </c>
      <c r="E55" s="2"/>
      <c r="F55" s="6">
        <f t="shared" si="28"/>
        <v>5.3022202409763693E-2</v>
      </c>
      <c r="G55" s="2"/>
      <c r="H55" s="7">
        <v>13902</v>
      </c>
      <c r="I55" s="2"/>
      <c r="J55" s="6">
        <f t="shared" si="29"/>
        <v>0.41707668306732271</v>
      </c>
      <c r="K55" s="2"/>
      <c r="L55" s="7">
        <f t="shared" si="30"/>
        <v>-10491.92</v>
      </c>
      <c r="M55" s="2"/>
      <c r="N55" s="6">
        <f t="shared" si="31"/>
        <v>-0.75470579772694579</v>
      </c>
      <c r="O55" s="11"/>
      <c r="P55" s="7">
        <v>10230.24</v>
      </c>
      <c r="Q55" s="2"/>
      <c r="R55" s="6">
        <f t="shared" si="32"/>
        <v>8.4594615244931642E-2</v>
      </c>
      <c r="S55" s="2"/>
      <c r="T55" s="7">
        <v>41706</v>
      </c>
      <c r="U55" s="2"/>
      <c r="V55" s="6">
        <f t="shared" si="33"/>
        <v>0.79340257961419924</v>
      </c>
      <c r="W55" s="2"/>
      <c r="X55" s="7">
        <f t="shared" si="34"/>
        <v>-31475.760000000002</v>
      </c>
      <c r="Y55" s="2"/>
      <c r="Z55" s="6">
        <f t="shared" si="35"/>
        <v>-0.75470579772694579</v>
      </c>
    </row>
    <row r="56" spans="1:26" s="28" customFormat="1" outlineLevel="1" collapsed="1" x14ac:dyDescent="0.25">
      <c r="A56" s="27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SUM(OSRRefD22_6x_0)</f>
        <v>0</v>
      </c>
      <c r="E56" s="1"/>
      <c r="F56" s="5">
        <f t="shared" ref="F56:F66" si="36">IF(D$12=0,0,D56/D$12)</f>
        <v>0</v>
      </c>
      <c r="G56" s="1"/>
      <c r="H56" s="1">
        <f>SUM(OSRRefH22_6x_0)</f>
        <v>275</v>
      </c>
      <c r="I56" s="1"/>
      <c r="J56" s="5">
        <f t="shared" ref="J56:J66" si="37">IF(H$12=0,0,H56/H$12)</f>
        <v>8.2503300132005276E-3</v>
      </c>
      <c r="K56" s="1"/>
      <c r="L56" s="1">
        <f t="shared" ref="L56:L66" si="38">+D56-H56</f>
        <v>-275</v>
      </c>
      <c r="M56" s="1"/>
      <c r="N56" s="5">
        <f t="shared" ref="N56:N66" si="39">IF(H56=0,0,L56/H56)</f>
        <v>-1</v>
      </c>
      <c r="O56" s="14"/>
      <c r="P56" s="1">
        <f>SUM(OSRRefP22_6x_0)</f>
        <v>490.07</v>
      </c>
      <c r="Q56" s="1"/>
      <c r="R56" s="5">
        <f t="shared" ref="R56:R66" si="40">IF(P$12=0,0,P56/P$12)</f>
        <v>4.052425269894318E-3</v>
      </c>
      <c r="S56" s="1"/>
      <c r="T56" s="1">
        <f>SUM(OSRRefT22_6x_0)</f>
        <v>825</v>
      </c>
      <c r="U56" s="1"/>
      <c r="V56" s="5">
        <f t="shared" ref="V56:V66" si="41">IF(T$12=0,0,T56/T$12)</f>
        <v>1.5694555416048396E-2</v>
      </c>
      <c r="W56" s="1"/>
      <c r="X56" s="1">
        <f t="shared" ref="X56:X66" si="42">+P56-T56</f>
        <v>-334.93</v>
      </c>
      <c r="Y56" s="1"/>
      <c r="Z56" s="5">
        <f t="shared" ref="Z56:Z66" si="43">IF(T56=0,0,X56/T56)</f>
        <v>-0.4059757575757576</v>
      </c>
    </row>
    <row r="57" spans="1:26" s="24" customFormat="1" hidden="1" outlineLevel="2" x14ac:dyDescent="0.25">
      <c r="A57" s="29"/>
      <c r="B57" s="11" t="str">
        <f>CONCATENATE("          ", "6351", " - ", "EQUIPMENT RENTAL")</f>
        <v xml:space="preserve">          6351 - EQUIPMENT RENTAL</v>
      </c>
      <c r="C57" s="11"/>
      <c r="D57" s="7"/>
      <c r="E57" s="2"/>
      <c r="F57" s="6">
        <f t="shared" si="36"/>
        <v>0</v>
      </c>
      <c r="G57" s="2"/>
      <c r="H57" s="7">
        <v>275</v>
      </c>
      <c r="I57" s="2"/>
      <c r="J57" s="6">
        <f t="shared" si="37"/>
        <v>8.2503300132005276E-3</v>
      </c>
      <c r="K57" s="2"/>
      <c r="L57" s="7">
        <f t="shared" si="38"/>
        <v>-275</v>
      </c>
      <c r="M57" s="2"/>
      <c r="N57" s="6">
        <f t="shared" si="39"/>
        <v>-1</v>
      </c>
      <c r="O57" s="11"/>
      <c r="P57" s="7">
        <v>490.07</v>
      </c>
      <c r="Q57" s="2"/>
      <c r="R57" s="6">
        <f t="shared" si="40"/>
        <v>4.052425269894318E-3</v>
      </c>
      <c r="S57" s="2"/>
      <c r="T57" s="7">
        <v>825</v>
      </c>
      <c r="U57" s="2"/>
      <c r="V57" s="6">
        <f t="shared" si="41"/>
        <v>1.5694555416048396E-2</v>
      </c>
      <c r="W57" s="2"/>
      <c r="X57" s="7">
        <f t="shared" si="42"/>
        <v>-334.93</v>
      </c>
      <c r="Y57" s="2"/>
      <c r="Z57" s="6">
        <f t="shared" si="43"/>
        <v>-0.4059757575757576</v>
      </c>
    </row>
    <row r="58" spans="1:26" s="28" customFormat="1" outlineLevel="1" collapsed="1" x14ac:dyDescent="0.25">
      <c r="A58" s="27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SUM(OSRRefD22_7x_0)</f>
        <v>0</v>
      </c>
      <c r="E58" s="1"/>
      <c r="F58" s="5">
        <f t="shared" si="36"/>
        <v>0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0</v>
      </c>
      <c r="M58" s="1"/>
      <c r="N58" s="5">
        <f t="shared" si="39"/>
        <v>0</v>
      </c>
      <c r="O58" s="14"/>
      <c r="P58" s="1">
        <f>SUM(OSRRefP22_7x_0)</f>
        <v>1507.92</v>
      </c>
      <c r="Q58" s="1"/>
      <c r="R58" s="5">
        <f t="shared" si="40"/>
        <v>1.2469102603666906E-2</v>
      </c>
      <c r="S58" s="1"/>
      <c r="T58" s="1">
        <f>SUM(OSRRefT22_7x_0)</f>
        <v>1335</v>
      </c>
      <c r="U58" s="1"/>
      <c r="V58" s="5">
        <f t="shared" si="41"/>
        <v>2.5396644218696494E-2</v>
      </c>
      <c r="W58" s="1"/>
      <c r="X58" s="1">
        <f t="shared" si="42"/>
        <v>172.92000000000007</v>
      </c>
      <c r="Y58" s="1"/>
      <c r="Z58" s="5">
        <f t="shared" si="43"/>
        <v>0.1295280898876405</v>
      </c>
    </row>
    <row r="59" spans="1:26" s="24" customFormat="1" hidden="1" outlineLevel="2" x14ac:dyDescent="0.25">
      <c r="A59" s="29"/>
      <c r="B59" s="11" t="str">
        <f>CONCATENATE("          ", "6279", " - ", "GENERAL EXPENSE")</f>
        <v xml:space="preserve">          6279 - GENERAL EXPENSE</v>
      </c>
      <c r="C59" s="11"/>
      <c r="D59" s="7"/>
      <c r="E59" s="2"/>
      <c r="F59" s="6">
        <f t="shared" si="36"/>
        <v>0</v>
      </c>
      <c r="G59" s="2"/>
      <c r="H59" s="7"/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>
        <v>1507.92</v>
      </c>
      <c r="Q59" s="2"/>
      <c r="R59" s="6">
        <f t="shared" si="40"/>
        <v>1.2469102603666906E-2</v>
      </c>
      <c r="S59" s="2"/>
      <c r="T59" s="7">
        <v>1335</v>
      </c>
      <c r="U59" s="2"/>
      <c r="V59" s="6">
        <f t="shared" si="41"/>
        <v>2.5396644218696494E-2</v>
      </c>
      <c r="W59" s="2"/>
      <c r="X59" s="7">
        <f t="shared" si="42"/>
        <v>172.92000000000007</v>
      </c>
      <c r="Y59" s="2"/>
      <c r="Z59" s="6">
        <f t="shared" si="43"/>
        <v>0.1295280898876405</v>
      </c>
    </row>
    <row r="60" spans="1:26" s="28" customFormat="1" outlineLevel="1" collapsed="1" x14ac:dyDescent="0.25">
      <c r="A60" s="27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SUM(OSRRefD22_8x_0)</f>
        <v>871.61</v>
      </c>
      <c r="E60" s="1"/>
      <c r="F60" s="5">
        <f t="shared" si="36"/>
        <v>1.3552374678123133E-2</v>
      </c>
      <c r="G60" s="1"/>
      <c r="H60" s="1">
        <f>SUM(OSRRefH22_8x_0)</f>
        <v>850</v>
      </c>
      <c r="I60" s="1"/>
      <c r="J60" s="5">
        <f t="shared" si="37"/>
        <v>2.5501020040801632E-2</v>
      </c>
      <c r="K60" s="1"/>
      <c r="L60" s="1">
        <f t="shared" si="38"/>
        <v>21.610000000000014</v>
      </c>
      <c r="M60" s="1"/>
      <c r="N60" s="5">
        <f t="shared" si="39"/>
        <v>2.5423529411764723E-2</v>
      </c>
      <c r="O60" s="14"/>
      <c r="P60" s="1">
        <f>SUM(OSRRefP22_8x_0)</f>
        <v>2614.83</v>
      </c>
      <c r="Q60" s="1"/>
      <c r="R60" s="5">
        <f t="shared" si="40"/>
        <v>2.1622223699630176E-2</v>
      </c>
      <c r="S60" s="1"/>
      <c r="T60" s="1">
        <f>SUM(OSRRefT22_8x_0)</f>
        <v>2550</v>
      </c>
      <c r="U60" s="1"/>
      <c r="V60" s="5">
        <f t="shared" si="41"/>
        <v>4.8510444013240499E-2</v>
      </c>
      <c r="W60" s="1"/>
      <c r="X60" s="1">
        <f t="shared" si="42"/>
        <v>64.829999999999927</v>
      </c>
      <c r="Y60" s="1"/>
      <c r="Z60" s="5">
        <f t="shared" si="43"/>
        <v>2.5423529411764678E-2</v>
      </c>
    </row>
    <row r="61" spans="1:26" s="24" customFormat="1" hidden="1" outlineLevel="2" x14ac:dyDescent="0.25">
      <c r="A61" s="29"/>
      <c r="B61" s="11" t="str">
        <f>CONCATENATE("          ", "6314", " - ", "LIABILITY INSURANCE")</f>
        <v xml:space="preserve">          6314 - LIABILITY INSURANCE</v>
      </c>
      <c r="C61" s="11"/>
      <c r="D61" s="7">
        <v>871.61</v>
      </c>
      <c r="E61" s="2"/>
      <c r="F61" s="6">
        <f t="shared" si="36"/>
        <v>1.3552374678123133E-2</v>
      </c>
      <c r="G61" s="2"/>
      <c r="H61" s="7">
        <v>850</v>
      </c>
      <c r="I61" s="2"/>
      <c r="J61" s="6">
        <f t="shared" si="37"/>
        <v>2.5501020040801632E-2</v>
      </c>
      <c r="K61" s="2"/>
      <c r="L61" s="7">
        <f t="shared" si="38"/>
        <v>21.610000000000014</v>
      </c>
      <c r="M61" s="2"/>
      <c r="N61" s="6">
        <f t="shared" si="39"/>
        <v>2.5423529411764723E-2</v>
      </c>
      <c r="O61" s="11"/>
      <c r="P61" s="7">
        <v>2614.83</v>
      </c>
      <c r="Q61" s="2"/>
      <c r="R61" s="6">
        <f t="shared" si="40"/>
        <v>2.1622223699630176E-2</v>
      </c>
      <c r="S61" s="2"/>
      <c r="T61" s="7">
        <v>2550</v>
      </c>
      <c r="U61" s="2"/>
      <c r="V61" s="6">
        <f t="shared" si="41"/>
        <v>4.8510444013240499E-2</v>
      </c>
      <c r="W61" s="2"/>
      <c r="X61" s="7">
        <f t="shared" si="42"/>
        <v>64.829999999999927</v>
      </c>
      <c r="Y61" s="2"/>
      <c r="Z61" s="6">
        <f t="shared" si="43"/>
        <v>2.5423529411764678E-2</v>
      </c>
    </row>
    <row r="62" spans="1:26" s="28" customFormat="1" outlineLevel="1" collapsed="1" x14ac:dyDescent="0.25">
      <c r="A62" s="27"/>
      <c r="B62" s="14" t="str">
        <f>CONCATENATE("     ","Interest                                          ")</f>
        <v xml:space="preserve">     Interest                                          </v>
      </c>
      <c r="C62" s="14"/>
      <c r="D62" s="1">
        <f>SUM(OSRRefD22_9x_0)</f>
        <v>7253</v>
      </c>
      <c r="E62" s="1"/>
      <c r="F62" s="5">
        <f t="shared" si="36"/>
        <v>0.11277449035741567</v>
      </c>
      <c r="G62" s="1"/>
      <c r="H62" s="1">
        <f>SUM(OSRRefH22_9x_0)</f>
        <v>7253</v>
      </c>
      <c r="I62" s="1"/>
      <c r="J62" s="5">
        <f t="shared" si="37"/>
        <v>0.21759870394815792</v>
      </c>
      <c r="K62" s="1"/>
      <c r="L62" s="1">
        <f t="shared" si="38"/>
        <v>0</v>
      </c>
      <c r="M62" s="1"/>
      <c r="N62" s="5">
        <f t="shared" si="39"/>
        <v>0</v>
      </c>
      <c r="O62" s="14"/>
      <c r="P62" s="1">
        <f>SUM(OSRRefP22_9x_0)</f>
        <v>21759</v>
      </c>
      <c r="Q62" s="1"/>
      <c r="R62" s="5">
        <f t="shared" si="40"/>
        <v>0.17992678892327724</v>
      </c>
      <c r="S62" s="1"/>
      <c r="T62" s="1">
        <f>SUM(OSRRefT22_9x_0)</f>
        <v>21759</v>
      </c>
      <c r="U62" s="1"/>
      <c r="V62" s="5">
        <f t="shared" si="41"/>
        <v>0.413936765209451</v>
      </c>
      <c r="W62" s="1"/>
      <c r="X62" s="1">
        <f t="shared" si="42"/>
        <v>0</v>
      </c>
      <c r="Y62" s="1"/>
      <c r="Z62" s="5">
        <f t="shared" si="43"/>
        <v>0</v>
      </c>
    </row>
    <row r="63" spans="1:26" s="24" customFormat="1" hidden="1" outlineLevel="2" x14ac:dyDescent="0.25">
      <c r="A63" s="29"/>
      <c r="B63" s="11" t="str">
        <f>CONCATENATE("          ", "6401", " - ", "INTEREST EXPENSE")</f>
        <v xml:space="preserve">          6401 - INTEREST EXPENSE</v>
      </c>
      <c r="C63" s="11"/>
      <c r="D63" s="7">
        <v>7253</v>
      </c>
      <c r="E63" s="2"/>
      <c r="F63" s="6">
        <f t="shared" si="36"/>
        <v>0.11277449035741567</v>
      </c>
      <c r="G63" s="2"/>
      <c r="H63" s="7">
        <v>7253</v>
      </c>
      <c r="I63" s="2"/>
      <c r="J63" s="6">
        <f t="shared" si="37"/>
        <v>0.21759870394815792</v>
      </c>
      <c r="K63" s="2"/>
      <c r="L63" s="7">
        <f t="shared" si="38"/>
        <v>0</v>
      </c>
      <c r="M63" s="2"/>
      <c r="N63" s="6">
        <f t="shared" si="39"/>
        <v>0</v>
      </c>
      <c r="O63" s="11"/>
      <c r="P63" s="7">
        <v>21759</v>
      </c>
      <c r="Q63" s="2"/>
      <c r="R63" s="6">
        <f t="shared" si="40"/>
        <v>0.17992678892327724</v>
      </c>
      <c r="S63" s="2"/>
      <c r="T63" s="7">
        <v>21759</v>
      </c>
      <c r="U63" s="2"/>
      <c r="V63" s="6">
        <f t="shared" si="41"/>
        <v>0.413936765209451</v>
      </c>
      <c r="W63" s="2"/>
      <c r="X63" s="7">
        <f t="shared" si="42"/>
        <v>0</v>
      </c>
      <c r="Y63" s="2"/>
      <c r="Z63" s="6">
        <f t="shared" si="43"/>
        <v>0</v>
      </c>
    </row>
    <row r="64" spans="1:26" s="28" customFormat="1" outlineLevel="1" collapsed="1" x14ac:dyDescent="0.25">
      <c r="A64" s="27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SUM(OSRRefD22_10x_0)</f>
        <v>2333.0600000000004</v>
      </c>
      <c r="E64" s="1"/>
      <c r="F64" s="5">
        <f t="shared" si="36"/>
        <v>3.6275975799430892E-2</v>
      </c>
      <c r="G64" s="1"/>
      <c r="H64" s="1">
        <f>SUM(OSRRefH22_10x_0)</f>
        <v>769</v>
      </c>
      <c r="I64" s="1"/>
      <c r="J64" s="5">
        <f t="shared" si="37"/>
        <v>2.3070922836913477E-2</v>
      </c>
      <c r="K64" s="1"/>
      <c r="L64" s="1">
        <f t="shared" si="38"/>
        <v>1564.0600000000004</v>
      </c>
      <c r="M64" s="1"/>
      <c r="N64" s="5">
        <f t="shared" si="39"/>
        <v>2.0338881664499353</v>
      </c>
      <c r="O64" s="14"/>
      <c r="P64" s="1">
        <f>SUM(OSRRefP22_10x_0)</f>
        <v>11195.150000000001</v>
      </c>
      <c r="Q64" s="1"/>
      <c r="R64" s="5">
        <f t="shared" si="40"/>
        <v>9.2573527782270668E-2</v>
      </c>
      <c r="S64" s="1"/>
      <c r="T64" s="1">
        <f>SUM(OSRRefT22_10x_0)</f>
        <v>2647</v>
      </c>
      <c r="U64" s="1"/>
      <c r="V64" s="5">
        <f t="shared" si="41"/>
        <v>5.0355743256097096E-2</v>
      </c>
      <c r="W64" s="1"/>
      <c r="X64" s="1">
        <f t="shared" si="42"/>
        <v>8548.1500000000015</v>
      </c>
      <c r="Y64" s="1"/>
      <c r="Z64" s="5">
        <f t="shared" si="43"/>
        <v>3.2293728749527775</v>
      </c>
    </row>
    <row r="65" spans="1:26" s="24" customFormat="1" hidden="1" outlineLevel="2" x14ac:dyDescent="0.25">
      <c r="A65" s="29"/>
      <c r="B65" s="11" t="str">
        <f>CONCATENATE("          ", "6373", " - ", "MAINTENANCE CONTRACTS")</f>
        <v xml:space="preserve">          6373 - MAINTENANCE CONTRACTS</v>
      </c>
      <c r="C65" s="11"/>
      <c r="D65" s="7">
        <v>107.78</v>
      </c>
      <c r="E65" s="2"/>
      <c r="F65" s="6">
        <f t="shared" si="36"/>
        <v>1.6758354571518354E-3</v>
      </c>
      <c r="G65" s="2"/>
      <c r="H65" s="7"/>
      <c r="I65" s="2"/>
      <c r="J65" s="6">
        <f t="shared" si="37"/>
        <v>0</v>
      </c>
      <c r="K65" s="2"/>
      <c r="L65" s="7">
        <f t="shared" si="38"/>
        <v>107.78</v>
      </c>
      <c r="M65" s="2"/>
      <c r="N65" s="6">
        <f t="shared" si="39"/>
        <v>0</v>
      </c>
      <c r="O65" s="11"/>
      <c r="P65" s="7">
        <v>107.78</v>
      </c>
      <c r="Q65" s="2"/>
      <c r="R65" s="6">
        <f t="shared" si="40"/>
        <v>8.9124083414452967E-4</v>
      </c>
      <c r="S65" s="2"/>
      <c r="T65" s="7">
        <v>380</v>
      </c>
      <c r="U65" s="2"/>
      <c r="V65" s="6">
        <f t="shared" si="41"/>
        <v>7.2290073431495643E-3</v>
      </c>
      <c r="W65" s="2"/>
      <c r="X65" s="7">
        <f t="shared" si="42"/>
        <v>-272.22000000000003</v>
      </c>
      <c r="Y65" s="2"/>
      <c r="Z65" s="6">
        <f t="shared" si="43"/>
        <v>-0.71636842105263165</v>
      </c>
    </row>
    <row r="66" spans="1:26" s="24" customFormat="1" hidden="1" outlineLevel="2" x14ac:dyDescent="0.25">
      <c r="A66" s="29"/>
      <c r="B66" s="11" t="str">
        <f>CONCATENATE("          ", "6375", " - ", "OUTSIDE REPAIRS &amp; MAINTENANCE")</f>
        <v xml:space="preserve">          6375 - OUTSIDE REPAIRS &amp; MAINTENANCE</v>
      </c>
      <c r="C66" s="11"/>
      <c r="D66" s="7">
        <v>2225.2800000000002</v>
      </c>
      <c r="E66" s="2"/>
      <c r="F66" s="6">
        <f t="shared" si="36"/>
        <v>3.4600140342279054E-2</v>
      </c>
      <c r="G66" s="2"/>
      <c r="H66" s="7">
        <v>769</v>
      </c>
      <c r="I66" s="2"/>
      <c r="J66" s="6">
        <f t="shared" si="37"/>
        <v>2.3070922836913477E-2</v>
      </c>
      <c r="K66" s="2"/>
      <c r="L66" s="7">
        <f t="shared" si="38"/>
        <v>1456.2800000000002</v>
      </c>
      <c r="M66" s="2"/>
      <c r="N66" s="6">
        <f t="shared" si="39"/>
        <v>1.8937321196358909</v>
      </c>
      <c r="O66" s="11"/>
      <c r="P66" s="7">
        <v>11087.37</v>
      </c>
      <c r="Q66" s="2"/>
      <c r="R66" s="6">
        <f t="shared" si="40"/>
        <v>9.1682286948126121E-2</v>
      </c>
      <c r="S66" s="2"/>
      <c r="T66" s="7">
        <v>2267</v>
      </c>
      <c r="U66" s="2"/>
      <c r="V66" s="6">
        <f t="shared" si="41"/>
        <v>4.3126735912947529E-2</v>
      </c>
      <c r="W66" s="2"/>
      <c r="X66" s="7">
        <f t="shared" si="42"/>
        <v>8820.3700000000008</v>
      </c>
      <c r="Y66" s="2"/>
      <c r="Z66" s="6">
        <f t="shared" si="43"/>
        <v>3.8907675341861494</v>
      </c>
    </row>
    <row r="67" spans="1:26" s="28" customFormat="1" outlineLevel="1" collapsed="1" x14ac:dyDescent="0.25">
      <c r="A67" s="27"/>
      <c r="B67" s="14" t="str">
        <f>CONCATENATE("     ","Services                                          ")</f>
        <v xml:space="preserve">     Services                                          </v>
      </c>
      <c r="C67" s="14"/>
      <c r="D67" s="1">
        <f>SUM(OSRRefD22_11x_0)</f>
        <v>3991.59</v>
      </c>
      <c r="E67" s="1"/>
      <c r="F67" s="5">
        <f t="shared" ref="F67:F71" si="44">IF(D$12=0,0,D67/D$12)</f>
        <v>6.2063908446953933E-2</v>
      </c>
      <c r="G67" s="1"/>
      <c r="H67" s="1">
        <f>SUM(OSRRefH22_11x_0)</f>
        <v>4857</v>
      </c>
      <c r="I67" s="1"/>
      <c r="J67" s="5">
        <f t="shared" ref="J67:J71" si="45">IF(H$12=0,0,H67/H$12)</f>
        <v>0.14571582863314533</v>
      </c>
      <c r="K67" s="1"/>
      <c r="L67" s="1">
        <f t="shared" ref="L67:L71" si="46">+D67-H67</f>
        <v>-865.40999999999985</v>
      </c>
      <c r="M67" s="1"/>
      <c r="N67" s="5">
        <f t="shared" ref="N67:N71" si="47">IF(H67=0,0,L67/H67)</f>
        <v>-0.17817788758492895</v>
      </c>
      <c r="O67" s="14"/>
      <c r="P67" s="1">
        <f>SUM(OSRRefP22_11x_0)</f>
        <v>19320.07</v>
      </c>
      <c r="Q67" s="1"/>
      <c r="R67" s="5">
        <f t="shared" ref="R67:R71" si="48">IF(P$12=0,0,P67/P$12)</f>
        <v>0.15975909540295696</v>
      </c>
      <c r="S67" s="1"/>
      <c r="T67" s="1">
        <f>SUM(OSRRefT22_11x_0)</f>
        <v>14693</v>
      </c>
      <c r="U67" s="1"/>
      <c r="V67" s="5">
        <f t="shared" ref="V67:V71" si="49">IF(T$12=0,0,T67/T$12)</f>
        <v>0.27951527603393828</v>
      </c>
      <c r="W67" s="1"/>
      <c r="X67" s="1">
        <f t="shared" ref="X67:X71" si="50">+P67-T67</f>
        <v>4627.07</v>
      </c>
      <c r="Y67" s="1"/>
      <c r="Z67" s="5">
        <f t="shared" ref="Z67:Z71" si="51">IF(T67=0,0,X67/T67)</f>
        <v>0.31491662696522149</v>
      </c>
    </row>
    <row r="68" spans="1:26" s="24" customFormat="1" hidden="1" outlineLevel="2" x14ac:dyDescent="0.25">
      <c r="A68" s="29"/>
      <c r="B68" s="11" t="str">
        <f>CONCATENATE("          ", "6282", " - ", "JANITORIAL/EXTERMINATOR EXPENS")</f>
        <v xml:space="preserve">          6282 - JANITORIAL/EXTERMINATOR EXPENS</v>
      </c>
      <c r="C68" s="11"/>
      <c r="D68" s="7">
        <v>351.55</v>
      </c>
      <c r="E68" s="2"/>
      <c r="F68" s="6">
        <f t="shared" si="44"/>
        <v>5.4661343009995153E-3</v>
      </c>
      <c r="G68" s="2"/>
      <c r="H68" s="7">
        <v>328</v>
      </c>
      <c r="I68" s="2"/>
      <c r="J68" s="6">
        <f t="shared" si="45"/>
        <v>9.84039361574463E-3</v>
      </c>
      <c r="K68" s="2"/>
      <c r="L68" s="7">
        <f t="shared" si="46"/>
        <v>23.550000000000011</v>
      </c>
      <c r="M68" s="2"/>
      <c r="N68" s="6">
        <f t="shared" si="47"/>
        <v>7.1798780487804914E-2</v>
      </c>
      <c r="O68" s="11"/>
      <c r="P68" s="7">
        <v>703.1</v>
      </c>
      <c r="Q68" s="2"/>
      <c r="R68" s="6">
        <f t="shared" si="48"/>
        <v>5.8139861800614104E-3</v>
      </c>
      <c r="S68" s="2"/>
      <c r="T68" s="7">
        <v>984</v>
      </c>
      <c r="U68" s="2"/>
      <c r="V68" s="6">
        <f t="shared" si="49"/>
        <v>1.871932427805045E-2</v>
      </c>
      <c r="W68" s="2"/>
      <c r="X68" s="7">
        <f t="shared" si="50"/>
        <v>-280.89999999999998</v>
      </c>
      <c r="Y68" s="2"/>
      <c r="Z68" s="6">
        <f t="shared" si="51"/>
        <v>-0.28546747967479674</v>
      </c>
    </row>
    <row r="69" spans="1:26" s="24" customFormat="1" hidden="1" outlineLevel="2" x14ac:dyDescent="0.25">
      <c r="A69" s="29"/>
      <c r="B69" s="11" t="str">
        <f>CONCATENATE("          ", "6284", " - ", "TRASH REMOVAL EXPENSE")</f>
        <v xml:space="preserve">          6284 - TRASH REMOVAL EXPENSE</v>
      </c>
      <c r="C69" s="11"/>
      <c r="D69" s="7"/>
      <c r="E69" s="2"/>
      <c r="F69" s="6">
        <f t="shared" si="44"/>
        <v>0</v>
      </c>
      <c r="G69" s="2"/>
      <c r="H69" s="7">
        <v>1000</v>
      </c>
      <c r="I69" s="2"/>
      <c r="J69" s="6">
        <f t="shared" si="45"/>
        <v>3.0001200048001921E-2</v>
      </c>
      <c r="K69" s="2"/>
      <c r="L69" s="7">
        <f t="shared" si="46"/>
        <v>-1000</v>
      </c>
      <c r="M69" s="2"/>
      <c r="N69" s="6">
        <f t="shared" si="47"/>
        <v>-1</v>
      </c>
      <c r="O69" s="11"/>
      <c r="P69" s="7"/>
      <c r="Q69" s="2"/>
      <c r="R69" s="6">
        <f t="shared" si="48"/>
        <v>0</v>
      </c>
      <c r="S69" s="2"/>
      <c r="T69" s="7">
        <v>3000</v>
      </c>
      <c r="U69" s="2"/>
      <c r="V69" s="6">
        <f t="shared" si="49"/>
        <v>5.7071110603812349E-2</v>
      </c>
      <c r="W69" s="2"/>
      <c r="X69" s="7">
        <f t="shared" si="50"/>
        <v>-3000</v>
      </c>
      <c r="Y69" s="2"/>
      <c r="Z69" s="6">
        <f t="shared" si="51"/>
        <v>-1</v>
      </c>
    </row>
    <row r="70" spans="1:26" s="24" customFormat="1" hidden="1" outlineLevel="2" x14ac:dyDescent="0.25">
      <c r="A70" s="29"/>
      <c r="B70" s="11" t="str">
        <f>CONCATENATE("          ", "6285", " - ", "JANITORIAL SERVICES")</f>
        <v xml:space="preserve">          6285 - JANITORIAL SERVICES</v>
      </c>
      <c r="C70" s="11"/>
      <c r="D70" s="7">
        <v>3506.13</v>
      </c>
      <c r="E70" s="2"/>
      <c r="F70" s="6">
        <f t="shared" si="44"/>
        <v>5.45156519890867E-2</v>
      </c>
      <c r="G70" s="2"/>
      <c r="H70" s="7">
        <v>3041</v>
      </c>
      <c r="I70" s="2"/>
      <c r="J70" s="6">
        <f t="shared" si="45"/>
        <v>9.1233649345973833E-2</v>
      </c>
      <c r="K70" s="2"/>
      <c r="L70" s="7">
        <f t="shared" si="46"/>
        <v>465.13000000000011</v>
      </c>
      <c r="M70" s="2"/>
      <c r="N70" s="6">
        <f t="shared" si="47"/>
        <v>0.15295297599473862</v>
      </c>
      <c r="O70" s="11"/>
      <c r="P70" s="7">
        <v>18163.580000000002</v>
      </c>
      <c r="Q70" s="2"/>
      <c r="R70" s="6">
        <f t="shared" si="48"/>
        <v>0.15019599360039801</v>
      </c>
      <c r="S70" s="2"/>
      <c r="T70" s="7">
        <v>9123</v>
      </c>
      <c r="U70" s="2"/>
      <c r="V70" s="6">
        <f t="shared" si="49"/>
        <v>0.17355324734619335</v>
      </c>
      <c r="W70" s="2"/>
      <c r="X70" s="7">
        <f t="shared" si="50"/>
        <v>9040.5800000000017</v>
      </c>
      <c r="Y70" s="2"/>
      <c r="Z70" s="6">
        <f t="shared" si="51"/>
        <v>0.99096569111038058</v>
      </c>
    </row>
    <row r="71" spans="1:26" s="24" customFormat="1" hidden="1" outlineLevel="2" x14ac:dyDescent="0.25">
      <c r="A71" s="29"/>
      <c r="B71" s="11" t="str">
        <f>CONCATENATE("          ", "6286", " - ", "LAUNDRY EXPENSE")</f>
        <v xml:space="preserve">          6286 - LAUNDRY EXPENSE</v>
      </c>
      <c r="C71" s="11"/>
      <c r="D71" s="7">
        <v>133.91</v>
      </c>
      <c r="E71" s="2"/>
      <c r="F71" s="6">
        <f t="shared" si="44"/>
        <v>2.0821221568677146E-3</v>
      </c>
      <c r="G71" s="2"/>
      <c r="H71" s="7">
        <v>488</v>
      </c>
      <c r="I71" s="2"/>
      <c r="J71" s="6">
        <f t="shared" si="45"/>
        <v>1.4640585623424938E-2</v>
      </c>
      <c r="K71" s="2"/>
      <c r="L71" s="7">
        <f t="shared" si="46"/>
        <v>-354.09000000000003</v>
      </c>
      <c r="M71" s="2"/>
      <c r="N71" s="6">
        <f t="shared" si="47"/>
        <v>-0.72559426229508206</v>
      </c>
      <c r="O71" s="11"/>
      <c r="P71" s="7">
        <v>453.39</v>
      </c>
      <c r="Q71" s="2"/>
      <c r="R71" s="6">
        <f t="shared" si="48"/>
        <v>3.7491156224975716E-3</v>
      </c>
      <c r="S71" s="2"/>
      <c r="T71" s="7">
        <v>1586</v>
      </c>
      <c r="U71" s="2"/>
      <c r="V71" s="6">
        <f t="shared" si="49"/>
        <v>3.0171593805882128E-2</v>
      </c>
      <c r="W71" s="2"/>
      <c r="X71" s="7">
        <f t="shared" si="50"/>
        <v>-1132.6100000000001</v>
      </c>
      <c r="Y71" s="2"/>
      <c r="Z71" s="6">
        <f t="shared" si="51"/>
        <v>-0.71412988650693576</v>
      </c>
    </row>
    <row r="72" spans="1:26" s="28" customFormat="1" outlineLevel="1" collapsed="1" x14ac:dyDescent="0.25">
      <c r="A72" s="27"/>
      <c r="B72" s="14" t="str">
        <f>CONCATENATE("     ","Subscriptions &amp; Dues                              ")</f>
        <v xml:space="preserve">     Subscriptions &amp; Dues                              </v>
      </c>
      <c r="C72" s="14"/>
      <c r="D72" s="1">
        <f>SUM(OSRRefD22_12x_0)</f>
        <v>204.93</v>
      </c>
      <c r="E72" s="1"/>
      <c r="F72" s="5">
        <f t="shared" ref="F72:F80" si="52">IF(D$12=0,0,D72/D$12)</f>
        <v>3.1863885714801042E-3</v>
      </c>
      <c r="G72" s="1"/>
      <c r="H72" s="1">
        <f>SUM(OSRRefH22_12x_0)</f>
        <v>380</v>
      </c>
      <c r="I72" s="1"/>
      <c r="J72" s="5">
        <f t="shared" ref="J72:J80" si="53">IF(H$12=0,0,H72/H$12)</f>
        <v>1.140045601824073E-2</v>
      </c>
      <c r="K72" s="1"/>
      <c r="L72" s="1">
        <f t="shared" ref="L72:L80" si="54">+D72-H72</f>
        <v>-175.07</v>
      </c>
      <c r="M72" s="1"/>
      <c r="N72" s="5">
        <f t="shared" ref="N72:N80" si="55">IF(H72=0,0,L72/H72)</f>
        <v>-0.46071052631578946</v>
      </c>
      <c r="O72" s="14"/>
      <c r="P72" s="1">
        <f>SUM(OSRRefP22_12x_0)</f>
        <v>929.19</v>
      </c>
      <c r="Q72" s="1"/>
      <c r="R72" s="5">
        <f t="shared" ref="R72:R80" si="56">IF(P$12=0,0,P72/P$12)</f>
        <v>7.6835412013245086E-3</v>
      </c>
      <c r="S72" s="1"/>
      <c r="T72" s="1">
        <f>SUM(OSRRefT22_12x_0)</f>
        <v>1140</v>
      </c>
      <c r="U72" s="1"/>
      <c r="V72" s="5">
        <f t="shared" ref="V72:V80" si="57">IF(T$12=0,0,T72/T$12)</f>
        <v>2.1687022029448694E-2</v>
      </c>
      <c r="W72" s="1"/>
      <c r="X72" s="1">
        <f t="shared" ref="X72:X80" si="58">+P72-T72</f>
        <v>-210.80999999999995</v>
      </c>
      <c r="Y72" s="1"/>
      <c r="Z72" s="5">
        <f t="shared" ref="Z72:Z80" si="59">IF(T72=0,0,X72/T72)</f>
        <v>-0.1849210526315789</v>
      </c>
    </row>
    <row r="73" spans="1:26" s="24" customFormat="1" hidden="1" outlineLevel="2" x14ac:dyDescent="0.25">
      <c r="A73" s="29"/>
      <c r="B73" s="11" t="str">
        <f>CONCATENATE("          ", "6275", " - ", "SUBSCRIPTIONS")</f>
        <v xml:space="preserve">          6275 - SUBSCRIPTIONS</v>
      </c>
      <c r="C73" s="11"/>
      <c r="D73" s="7">
        <v>204.93</v>
      </c>
      <c r="E73" s="2"/>
      <c r="F73" s="6">
        <f t="shared" si="52"/>
        <v>3.1863885714801042E-3</v>
      </c>
      <c r="G73" s="2"/>
      <c r="H73" s="7">
        <v>380</v>
      </c>
      <c r="I73" s="2"/>
      <c r="J73" s="6">
        <f t="shared" si="53"/>
        <v>1.140045601824073E-2</v>
      </c>
      <c r="K73" s="2"/>
      <c r="L73" s="7">
        <f t="shared" si="54"/>
        <v>-175.07</v>
      </c>
      <c r="M73" s="2"/>
      <c r="N73" s="6">
        <f t="shared" si="55"/>
        <v>-0.46071052631578946</v>
      </c>
      <c r="O73" s="11"/>
      <c r="P73" s="7">
        <v>929.19</v>
      </c>
      <c r="Q73" s="2"/>
      <c r="R73" s="6">
        <f t="shared" si="56"/>
        <v>7.6835412013245086E-3</v>
      </c>
      <c r="S73" s="2"/>
      <c r="T73" s="7">
        <v>1140</v>
      </c>
      <c r="U73" s="2"/>
      <c r="V73" s="6">
        <f t="shared" si="57"/>
        <v>2.1687022029448694E-2</v>
      </c>
      <c r="W73" s="2"/>
      <c r="X73" s="7">
        <f t="shared" si="58"/>
        <v>-210.80999999999995</v>
      </c>
      <c r="Y73" s="2"/>
      <c r="Z73" s="6">
        <f t="shared" si="59"/>
        <v>-0.1849210526315789</v>
      </c>
    </row>
    <row r="74" spans="1:26" s="28" customFormat="1" outlineLevel="1" collapsed="1" x14ac:dyDescent="0.25">
      <c r="A74" s="27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SUM(OSRRefD22_13x_0)</f>
        <v>2359.3200000000002</v>
      </c>
      <c r="E74" s="1"/>
      <c r="F74" s="5">
        <f t="shared" si="52"/>
        <v>3.6684283826011028E-2</v>
      </c>
      <c r="G74" s="1"/>
      <c r="H74" s="1">
        <f>SUM(OSRRefH22_13x_0)</f>
        <v>1180</v>
      </c>
      <c r="I74" s="1"/>
      <c r="J74" s="5">
        <f t="shared" si="53"/>
        <v>3.5401416056642265E-2</v>
      </c>
      <c r="K74" s="1"/>
      <c r="L74" s="1">
        <f t="shared" si="54"/>
        <v>1179.3200000000002</v>
      </c>
      <c r="M74" s="1"/>
      <c r="N74" s="5">
        <f t="shared" si="55"/>
        <v>0.99942372881355945</v>
      </c>
      <c r="O74" s="14"/>
      <c r="P74" s="1">
        <f>SUM(OSRRefP22_13x_0)</f>
        <v>4680.0499999999993</v>
      </c>
      <c r="Q74" s="1"/>
      <c r="R74" s="5">
        <f t="shared" si="56"/>
        <v>3.8699681442179487E-2</v>
      </c>
      <c r="S74" s="1"/>
      <c r="T74" s="1">
        <f>SUM(OSRRefT22_13x_0)</f>
        <v>7373</v>
      </c>
      <c r="U74" s="1"/>
      <c r="V74" s="5">
        <f t="shared" si="57"/>
        <v>0.14026176616063615</v>
      </c>
      <c r="W74" s="1"/>
      <c r="X74" s="1">
        <f t="shared" si="58"/>
        <v>-2692.9500000000007</v>
      </c>
      <c r="Y74" s="1"/>
      <c r="Z74" s="5">
        <f t="shared" si="59"/>
        <v>-0.36524481215244819</v>
      </c>
    </row>
    <row r="75" spans="1:26" s="24" customFormat="1" hidden="1" outlineLevel="2" x14ac:dyDescent="0.25">
      <c r="A75" s="29"/>
      <c r="B75" s="11" t="str">
        <f>CONCATENATE("          ", "6237", " - ", "JANITORIAL SUPPLIES")</f>
        <v xml:space="preserve">          6237 - JANITORIAL SUPPLIES</v>
      </c>
      <c r="C75" s="11"/>
      <c r="D75" s="7">
        <v>1597.32</v>
      </c>
      <c r="E75" s="2"/>
      <c r="F75" s="6">
        <f t="shared" si="52"/>
        <v>2.4836198667821205E-2</v>
      </c>
      <c r="G75" s="2"/>
      <c r="H75" s="7">
        <v>261</v>
      </c>
      <c r="I75" s="2"/>
      <c r="J75" s="6">
        <f t="shared" si="53"/>
        <v>7.8303132125285019E-3</v>
      </c>
      <c r="K75" s="2"/>
      <c r="L75" s="7">
        <f t="shared" si="54"/>
        <v>1336.32</v>
      </c>
      <c r="M75" s="2"/>
      <c r="N75" s="6">
        <f t="shared" si="55"/>
        <v>5.12</v>
      </c>
      <c r="O75" s="11"/>
      <c r="P75" s="7">
        <v>2799.85</v>
      </c>
      <c r="Q75" s="2"/>
      <c r="R75" s="6">
        <f t="shared" si="56"/>
        <v>2.3152167837071452E-2</v>
      </c>
      <c r="S75" s="2"/>
      <c r="T75" s="7">
        <v>1503</v>
      </c>
      <c r="U75" s="2"/>
      <c r="V75" s="6">
        <f t="shared" si="57"/>
        <v>2.8592626412509987E-2</v>
      </c>
      <c r="W75" s="2"/>
      <c r="X75" s="7">
        <f t="shared" si="58"/>
        <v>1296.8499999999999</v>
      </c>
      <c r="Y75" s="2"/>
      <c r="Z75" s="6">
        <f t="shared" si="59"/>
        <v>0.86284098469727211</v>
      </c>
    </row>
    <row r="76" spans="1:26" s="24" customFormat="1" hidden="1" outlineLevel="2" x14ac:dyDescent="0.25">
      <c r="A76" s="29"/>
      <c r="B76" s="11" t="str">
        <f>CONCATENATE("          ", "6239", " - ", "KITCHEN SUPPLIES")</f>
        <v xml:space="preserve">          6239 - KITCHEN SUPPLIES</v>
      </c>
      <c r="C76" s="11"/>
      <c r="D76" s="7">
        <v>737.2</v>
      </c>
      <c r="E76" s="2"/>
      <c r="F76" s="6">
        <f t="shared" si="52"/>
        <v>1.1462478187162117E-2</v>
      </c>
      <c r="G76" s="2"/>
      <c r="H76" s="7">
        <v>13</v>
      </c>
      <c r="I76" s="2"/>
      <c r="J76" s="6">
        <f t="shared" si="53"/>
        <v>3.9001560062402497E-4</v>
      </c>
      <c r="K76" s="2"/>
      <c r="L76" s="7">
        <f t="shared" si="54"/>
        <v>724.2</v>
      </c>
      <c r="M76" s="2"/>
      <c r="N76" s="6">
        <f t="shared" si="55"/>
        <v>55.707692307692312</v>
      </c>
      <c r="O76" s="11"/>
      <c r="P76" s="7">
        <v>918.21</v>
      </c>
      <c r="Q76" s="2"/>
      <c r="R76" s="6">
        <f t="shared" si="56"/>
        <v>7.5927467648900402E-3</v>
      </c>
      <c r="S76" s="2"/>
      <c r="T76" s="7">
        <v>149</v>
      </c>
      <c r="U76" s="2"/>
      <c r="V76" s="6">
        <f t="shared" si="57"/>
        <v>2.8345318266560135E-3</v>
      </c>
      <c r="W76" s="2"/>
      <c r="X76" s="7">
        <f t="shared" si="58"/>
        <v>769.21</v>
      </c>
      <c r="Y76" s="2"/>
      <c r="Z76" s="6">
        <f t="shared" si="59"/>
        <v>5.16248322147651</v>
      </c>
    </row>
    <row r="77" spans="1:26" s="24" customFormat="1" hidden="1" outlineLevel="2" x14ac:dyDescent="0.25">
      <c r="A77" s="29"/>
      <c r="B77" s="11" t="str">
        <f>CONCATENATE("          ", "6241", " - ", "OFFICE EXPENSE")</f>
        <v xml:space="preserve">          6241 - OFFICE EXPENSE</v>
      </c>
      <c r="C77" s="11"/>
      <c r="D77" s="7">
        <v>24.8</v>
      </c>
      <c r="E77" s="2"/>
      <c r="F77" s="6">
        <f t="shared" si="52"/>
        <v>3.8560697102770012E-4</v>
      </c>
      <c r="G77" s="2"/>
      <c r="H77" s="7">
        <v>283</v>
      </c>
      <c r="I77" s="2"/>
      <c r="J77" s="6">
        <f t="shared" si="53"/>
        <v>8.4903396135845438E-3</v>
      </c>
      <c r="K77" s="2"/>
      <c r="L77" s="7">
        <f t="shared" si="54"/>
        <v>-258.2</v>
      </c>
      <c r="M77" s="2"/>
      <c r="N77" s="6">
        <f t="shared" si="55"/>
        <v>-0.91236749116607774</v>
      </c>
      <c r="O77" s="11"/>
      <c r="P77" s="7">
        <v>475.76</v>
      </c>
      <c r="Q77" s="2"/>
      <c r="R77" s="6">
        <f t="shared" si="56"/>
        <v>3.9340948158526762E-3</v>
      </c>
      <c r="S77" s="2"/>
      <c r="T77" s="7">
        <v>2827</v>
      </c>
      <c r="U77" s="2"/>
      <c r="V77" s="6">
        <f t="shared" si="57"/>
        <v>5.3780009892325835E-2</v>
      </c>
      <c r="W77" s="2"/>
      <c r="X77" s="7">
        <f t="shared" si="58"/>
        <v>-2351.2399999999998</v>
      </c>
      <c r="Y77" s="2"/>
      <c r="Z77" s="6">
        <f t="shared" si="59"/>
        <v>-0.83170852493809688</v>
      </c>
    </row>
    <row r="78" spans="1:26" s="24" customFormat="1" hidden="1" outlineLevel="2" x14ac:dyDescent="0.25">
      <c r="A78" s="29"/>
      <c r="B78" s="11" t="str">
        <f>CONCATENATE("          ", "6243", " - ", "PAPER SUPPLIES")</f>
        <v xml:space="preserve">          6243 - PAPER SUPPLIES</v>
      </c>
      <c r="C78" s="11"/>
      <c r="D78" s="7"/>
      <c r="E78" s="2"/>
      <c r="F78" s="6">
        <f t="shared" si="52"/>
        <v>0</v>
      </c>
      <c r="G78" s="2"/>
      <c r="H78" s="7">
        <v>623</v>
      </c>
      <c r="I78" s="2"/>
      <c r="J78" s="6">
        <f t="shared" si="53"/>
        <v>1.8690747629905195E-2</v>
      </c>
      <c r="K78" s="2"/>
      <c r="L78" s="7">
        <f t="shared" si="54"/>
        <v>-623</v>
      </c>
      <c r="M78" s="2"/>
      <c r="N78" s="6">
        <f t="shared" si="55"/>
        <v>-1</v>
      </c>
      <c r="O78" s="11"/>
      <c r="P78" s="7">
        <v>486.23</v>
      </c>
      <c r="Q78" s="2"/>
      <c r="R78" s="6">
        <f t="shared" si="56"/>
        <v>4.0206720243653243E-3</v>
      </c>
      <c r="S78" s="2"/>
      <c r="T78" s="7">
        <v>1483</v>
      </c>
      <c r="U78" s="2"/>
      <c r="V78" s="6">
        <f t="shared" si="57"/>
        <v>2.8212152341817905E-2</v>
      </c>
      <c r="W78" s="2"/>
      <c r="X78" s="7">
        <f t="shared" si="58"/>
        <v>-996.77</v>
      </c>
      <c r="Y78" s="2"/>
      <c r="Z78" s="6">
        <f t="shared" si="59"/>
        <v>-0.67213081591368851</v>
      </c>
    </row>
    <row r="79" spans="1:26" s="24" customFormat="1" hidden="1" outlineLevel="2" x14ac:dyDescent="0.25">
      <c r="A79" s="29"/>
      <c r="B79" s="11" t="str">
        <f>CONCATENATE("          ", "6247", " - ", "STORE SUPPLIES")</f>
        <v xml:space="preserve">          6247 - STORE SUPPLIES</v>
      </c>
      <c r="C79" s="11"/>
      <c r="D79" s="7"/>
      <c r="E79" s="2"/>
      <c r="F79" s="6">
        <f t="shared" si="52"/>
        <v>0</v>
      </c>
      <c r="G79" s="2"/>
      <c r="H79" s="7"/>
      <c r="I79" s="2"/>
      <c r="J79" s="6">
        <f t="shared" si="53"/>
        <v>0</v>
      </c>
      <c r="K79" s="2"/>
      <c r="L79" s="7">
        <f t="shared" si="54"/>
        <v>0</v>
      </c>
      <c r="M79" s="2"/>
      <c r="N79" s="6">
        <f t="shared" si="55"/>
        <v>0</v>
      </c>
      <c r="O79" s="11"/>
      <c r="P79" s="7"/>
      <c r="Q79" s="2"/>
      <c r="R79" s="6">
        <f t="shared" si="56"/>
        <v>0</v>
      </c>
      <c r="S79" s="2"/>
      <c r="T79" s="7">
        <v>411</v>
      </c>
      <c r="U79" s="2"/>
      <c r="V79" s="6">
        <f t="shared" si="57"/>
        <v>7.8187421527222915E-3</v>
      </c>
      <c r="W79" s="2"/>
      <c r="X79" s="7">
        <f t="shared" si="58"/>
        <v>-411</v>
      </c>
      <c r="Y79" s="2"/>
      <c r="Z79" s="6">
        <f t="shared" si="59"/>
        <v>-1</v>
      </c>
    </row>
    <row r="80" spans="1:26" s="24" customFormat="1" hidden="1" outlineLevel="2" x14ac:dyDescent="0.25">
      <c r="A80" s="29"/>
      <c r="B80" s="11" t="str">
        <f>CONCATENATE("          ", "6248", " - ", "UNIFORMS")</f>
        <v xml:space="preserve">          6248 - UNIFORMS</v>
      </c>
      <c r="C80" s="11"/>
      <c r="D80" s="7"/>
      <c r="E80" s="2"/>
      <c r="F80" s="6">
        <f t="shared" si="52"/>
        <v>0</v>
      </c>
      <c r="G80" s="2"/>
      <c r="H80" s="7"/>
      <c r="I80" s="2"/>
      <c r="J80" s="6">
        <f t="shared" si="53"/>
        <v>0</v>
      </c>
      <c r="K80" s="2"/>
      <c r="L80" s="7">
        <f t="shared" si="54"/>
        <v>0</v>
      </c>
      <c r="M80" s="2"/>
      <c r="N80" s="6">
        <f t="shared" si="55"/>
        <v>0</v>
      </c>
      <c r="O80" s="11"/>
      <c r="P80" s="7"/>
      <c r="Q80" s="2"/>
      <c r="R80" s="6">
        <f t="shared" si="56"/>
        <v>0</v>
      </c>
      <c r="S80" s="2"/>
      <c r="T80" s="7">
        <v>1000</v>
      </c>
      <c r="U80" s="2"/>
      <c r="V80" s="6">
        <f t="shared" si="57"/>
        <v>1.9023703534604117E-2</v>
      </c>
      <c r="W80" s="2"/>
      <c r="X80" s="7">
        <f t="shared" si="58"/>
        <v>-1000</v>
      </c>
      <c r="Y80" s="2"/>
      <c r="Z80" s="6">
        <f t="shared" si="59"/>
        <v>-1</v>
      </c>
    </row>
    <row r="81" spans="1:26" s="28" customFormat="1" outlineLevel="1" collapsed="1" x14ac:dyDescent="0.25">
      <c r="A81" s="27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SUM(OSRRefD22_14x_0)</f>
        <v>245.83</v>
      </c>
      <c r="E81" s="1"/>
      <c r="F81" s="5">
        <f t="shared" ref="F81:F83" si="60">IF(D$12=0,0,D81/D$12)</f>
        <v>3.8223291003120774E-3</v>
      </c>
      <c r="G81" s="1"/>
      <c r="H81" s="1">
        <f>SUM(OSRRefH22_14x_0)</f>
        <v>135</v>
      </c>
      <c r="I81" s="1"/>
      <c r="J81" s="5">
        <f t="shared" ref="J81:J83" si="61">IF(H$12=0,0,H81/H$12)</f>
        <v>4.0501620064802594E-3</v>
      </c>
      <c r="K81" s="1"/>
      <c r="L81" s="1">
        <f t="shared" ref="L81:L83" si="62">+D81-H81</f>
        <v>110.83000000000001</v>
      </c>
      <c r="M81" s="1"/>
      <c r="N81" s="5">
        <f t="shared" ref="N81:N83" si="63">IF(H81=0,0,L81/H81)</f>
        <v>0.82096296296296301</v>
      </c>
      <c r="O81" s="14"/>
      <c r="P81" s="1">
        <f>SUM(OSRRefP22_14x_0)</f>
        <v>784.83</v>
      </c>
      <c r="Q81" s="1"/>
      <c r="R81" s="5">
        <f t="shared" ref="R81:R83" si="64">IF(P$12=0,0,P81/P$12)</f>
        <v>6.4898176272188829E-3</v>
      </c>
      <c r="S81" s="1"/>
      <c r="T81" s="1">
        <f>SUM(OSRRefT22_14x_0)</f>
        <v>405</v>
      </c>
      <c r="U81" s="1"/>
      <c r="V81" s="5">
        <f t="shared" ref="V81:V83" si="65">IF(T$12=0,0,T81/T$12)</f>
        <v>7.704599931514667E-3</v>
      </c>
      <c r="W81" s="1"/>
      <c r="X81" s="1">
        <f t="shared" ref="X81:X83" si="66">+P81-T81</f>
        <v>379.83000000000004</v>
      </c>
      <c r="Y81" s="1"/>
      <c r="Z81" s="5">
        <f t="shared" ref="Z81:Z83" si="67">IF(T81=0,0,X81/T81)</f>
        <v>0.93785185185185194</v>
      </c>
    </row>
    <row r="82" spans="1:26" s="24" customFormat="1" hidden="1" outlineLevel="2" x14ac:dyDescent="0.25">
      <c r="A82" s="29"/>
      <c r="B82" s="11" t="str">
        <f>CONCATENATE("          ", "6303", " - ", "DATA PHONE LINES")</f>
        <v xml:space="preserve">          6303 - DATA PHONE LINES</v>
      </c>
      <c r="C82" s="11"/>
      <c r="D82" s="7"/>
      <c r="E82" s="2"/>
      <c r="F82" s="6">
        <f t="shared" si="60"/>
        <v>0</v>
      </c>
      <c r="G82" s="2"/>
      <c r="H82" s="7">
        <v>60</v>
      </c>
      <c r="I82" s="2"/>
      <c r="J82" s="6">
        <f t="shared" si="61"/>
        <v>1.8000720028801152E-3</v>
      </c>
      <c r="K82" s="2"/>
      <c r="L82" s="7">
        <f t="shared" si="62"/>
        <v>-60</v>
      </c>
      <c r="M82" s="2"/>
      <c r="N82" s="6">
        <f t="shared" si="63"/>
        <v>-1</v>
      </c>
      <c r="O82" s="11"/>
      <c r="P82" s="7"/>
      <c r="Q82" s="2"/>
      <c r="R82" s="6">
        <f t="shared" si="64"/>
        <v>0</v>
      </c>
      <c r="S82" s="2"/>
      <c r="T82" s="7">
        <v>180</v>
      </c>
      <c r="U82" s="2"/>
      <c r="V82" s="6">
        <f t="shared" si="65"/>
        <v>3.4242666362287412E-3</v>
      </c>
      <c r="W82" s="2"/>
      <c r="X82" s="7">
        <f t="shared" si="66"/>
        <v>-180</v>
      </c>
      <c r="Y82" s="2"/>
      <c r="Z82" s="6">
        <f t="shared" si="67"/>
        <v>-1</v>
      </c>
    </row>
    <row r="83" spans="1:26" s="24" customFormat="1" hidden="1" outlineLevel="2" x14ac:dyDescent="0.25">
      <c r="A83" s="29"/>
      <c r="B83" s="11" t="str">
        <f>CONCATENATE("          ", "6309", " - ", "TELEPHONE")</f>
        <v xml:space="preserve">          6309 - TELEPHONE</v>
      </c>
      <c r="C83" s="11"/>
      <c r="D83" s="7">
        <v>245.83</v>
      </c>
      <c r="E83" s="2"/>
      <c r="F83" s="6">
        <f t="shared" si="60"/>
        <v>3.8223291003120774E-3</v>
      </c>
      <c r="G83" s="2"/>
      <c r="H83" s="7">
        <v>75</v>
      </c>
      <c r="I83" s="2"/>
      <c r="J83" s="6">
        <f t="shared" si="61"/>
        <v>2.2500900036001442E-3</v>
      </c>
      <c r="K83" s="2"/>
      <c r="L83" s="7">
        <f t="shared" si="62"/>
        <v>170.83</v>
      </c>
      <c r="M83" s="2"/>
      <c r="N83" s="6">
        <f t="shared" si="63"/>
        <v>2.2777333333333334</v>
      </c>
      <c r="O83" s="11"/>
      <c r="P83" s="7">
        <v>784.83</v>
      </c>
      <c r="Q83" s="2"/>
      <c r="R83" s="6">
        <f t="shared" si="64"/>
        <v>6.4898176272188829E-3</v>
      </c>
      <c r="S83" s="2"/>
      <c r="T83" s="7">
        <v>225</v>
      </c>
      <c r="U83" s="2"/>
      <c r="V83" s="6">
        <f t="shared" si="65"/>
        <v>4.2803332952859267E-3</v>
      </c>
      <c r="W83" s="2"/>
      <c r="X83" s="7">
        <f t="shared" si="66"/>
        <v>559.83000000000004</v>
      </c>
      <c r="Y83" s="2"/>
      <c r="Z83" s="6">
        <f t="shared" si="67"/>
        <v>2.4881333333333333</v>
      </c>
    </row>
    <row r="84" spans="1:26" s="28" customFormat="1" outlineLevel="1" collapsed="1" x14ac:dyDescent="0.25">
      <c r="A84" s="27"/>
      <c r="B84" s="14" t="str">
        <f>CONCATENATE("     ","Training                                          ")</f>
        <v xml:space="preserve">     Training                                          </v>
      </c>
      <c r="C84" s="14"/>
      <c r="D84" s="1">
        <f>SUM(OSRRefD22_15x_0)</f>
        <v>0</v>
      </c>
      <c r="E84" s="1"/>
      <c r="F84" s="5">
        <f t="shared" ref="F84:F87" si="68">IF(D$12=0,0,D84/D$12)</f>
        <v>0</v>
      </c>
      <c r="G84" s="1"/>
      <c r="H84" s="1">
        <f>SUM(OSRRefH22_15x_0)</f>
        <v>0</v>
      </c>
      <c r="I84" s="1"/>
      <c r="J84" s="5">
        <f t="shared" ref="J84:J87" si="69">IF(H$12=0,0,H84/H$12)</f>
        <v>0</v>
      </c>
      <c r="K84" s="1"/>
      <c r="L84" s="1">
        <f t="shared" ref="L84:L87" si="70">+D84-H84</f>
        <v>0</v>
      </c>
      <c r="M84" s="1"/>
      <c r="N84" s="5">
        <f t="shared" ref="N84:N87" si="71">IF(H84=0,0,L84/H84)</f>
        <v>0</v>
      </c>
      <c r="O84" s="14"/>
      <c r="P84" s="1">
        <f>SUM(OSRRefP22_15x_0)</f>
        <v>0</v>
      </c>
      <c r="Q84" s="1"/>
      <c r="R84" s="5">
        <f t="shared" ref="R84:R87" si="72">IF(P$12=0,0,P84/P$12)</f>
        <v>0</v>
      </c>
      <c r="S84" s="1"/>
      <c r="T84" s="1">
        <f>SUM(OSRRefT22_15x_0)</f>
        <v>400</v>
      </c>
      <c r="U84" s="1"/>
      <c r="V84" s="5">
        <f t="shared" ref="V84:V87" si="73">IF(T$12=0,0,T84/T$12)</f>
        <v>7.6094814138416471E-3</v>
      </c>
      <c r="W84" s="1"/>
      <c r="X84" s="1">
        <f t="shared" ref="X84:X87" si="74">+P84-T84</f>
        <v>-400</v>
      </c>
      <c r="Y84" s="1"/>
      <c r="Z84" s="5">
        <f t="shared" ref="Z84:Z87" si="75">IF(T84=0,0,X84/T84)</f>
        <v>-1</v>
      </c>
    </row>
    <row r="85" spans="1:26" s="24" customFormat="1" hidden="1" outlineLevel="2" x14ac:dyDescent="0.25">
      <c r="A85" s="29"/>
      <c r="B85" s="11" t="str">
        <f>CONCATENATE("          ", "6376", " - ", "TRAINING")</f>
        <v xml:space="preserve">          6376 - TRAINING</v>
      </c>
      <c r="C85" s="11"/>
      <c r="D85" s="7"/>
      <c r="E85" s="2"/>
      <c r="F85" s="6">
        <f t="shared" si="68"/>
        <v>0</v>
      </c>
      <c r="G85" s="2"/>
      <c r="H85" s="7"/>
      <c r="I85" s="2"/>
      <c r="J85" s="6">
        <f t="shared" si="69"/>
        <v>0</v>
      </c>
      <c r="K85" s="2"/>
      <c r="L85" s="7">
        <f t="shared" si="70"/>
        <v>0</v>
      </c>
      <c r="M85" s="2"/>
      <c r="N85" s="6">
        <f t="shared" si="71"/>
        <v>0</v>
      </c>
      <c r="O85" s="11"/>
      <c r="P85" s="7"/>
      <c r="Q85" s="2"/>
      <c r="R85" s="6">
        <f t="shared" si="72"/>
        <v>0</v>
      </c>
      <c r="S85" s="2"/>
      <c r="T85" s="7">
        <v>400</v>
      </c>
      <c r="U85" s="2"/>
      <c r="V85" s="6">
        <f t="shared" si="73"/>
        <v>7.6094814138416471E-3</v>
      </c>
      <c r="W85" s="2"/>
      <c r="X85" s="7">
        <f t="shared" si="74"/>
        <v>-400</v>
      </c>
      <c r="Y85" s="2"/>
      <c r="Z85" s="6">
        <f t="shared" si="75"/>
        <v>-1</v>
      </c>
    </row>
    <row r="86" spans="1:26" s="28" customFormat="1" outlineLevel="1" collapsed="1" x14ac:dyDescent="0.25">
      <c r="A86" s="27"/>
      <c r="B86" s="14" t="str">
        <f>CONCATENATE("     ","Utilities                                         ")</f>
        <v xml:space="preserve">     Utilities                                         </v>
      </c>
      <c r="C86" s="14"/>
      <c r="D86" s="1">
        <f>SUM(OSRRefD22_16x_0)</f>
        <v>2400</v>
      </c>
      <c r="E86" s="1"/>
      <c r="F86" s="5">
        <f t="shared" si="68"/>
        <v>3.7316803647841942E-2</v>
      </c>
      <c r="G86" s="1"/>
      <c r="H86" s="1">
        <f>SUM(OSRRefH22_16x_0)</f>
        <v>2417</v>
      </c>
      <c r="I86" s="1"/>
      <c r="J86" s="5">
        <f t="shared" si="69"/>
        <v>7.2512900516020634E-2</v>
      </c>
      <c r="K86" s="1"/>
      <c r="L86" s="1">
        <f t="shared" si="70"/>
        <v>-17</v>
      </c>
      <c r="M86" s="1"/>
      <c r="N86" s="5">
        <f t="shared" si="71"/>
        <v>-7.0335126189491103E-3</v>
      </c>
      <c r="O86" s="14"/>
      <c r="P86" s="1">
        <f>SUM(OSRRefP22_16x_0)</f>
        <v>7200</v>
      </c>
      <c r="Q86" s="1"/>
      <c r="R86" s="5">
        <f t="shared" si="72"/>
        <v>5.9537335366864105E-2</v>
      </c>
      <c r="S86" s="1"/>
      <c r="T86" s="1">
        <f>SUM(OSRRefT22_16x_0)</f>
        <v>7251</v>
      </c>
      <c r="U86" s="1"/>
      <c r="V86" s="5">
        <f t="shared" si="73"/>
        <v>0.13794087432941446</v>
      </c>
      <c r="W86" s="1"/>
      <c r="X86" s="1">
        <f t="shared" si="74"/>
        <v>-51</v>
      </c>
      <c r="Y86" s="1"/>
      <c r="Z86" s="5">
        <f t="shared" si="75"/>
        <v>-7.0335126189491103E-3</v>
      </c>
    </row>
    <row r="87" spans="1:26" s="24" customFormat="1" hidden="1" outlineLevel="2" x14ac:dyDescent="0.25">
      <c r="A87" s="29"/>
      <c r="B87" s="11" t="str">
        <f>CONCATENATE("          ", "6274", " - ", "UTILITIES")</f>
        <v xml:space="preserve">          6274 - UTILITIES</v>
      </c>
      <c r="C87" s="11"/>
      <c r="D87" s="7">
        <v>2400</v>
      </c>
      <c r="E87" s="2"/>
      <c r="F87" s="6">
        <f t="shared" si="68"/>
        <v>3.7316803647841942E-2</v>
      </c>
      <c r="G87" s="2"/>
      <c r="H87" s="7">
        <v>2417</v>
      </c>
      <c r="I87" s="2"/>
      <c r="J87" s="6">
        <f t="shared" si="69"/>
        <v>7.2512900516020634E-2</v>
      </c>
      <c r="K87" s="2"/>
      <c r="L87" s="7">
        <f t="shared" si="70"/>
        <v>-17</v>
      </c>
      <c r="M87" s="2"/>
      <c r="N87" s="6">
        <f t="shared" si="71"/>
        <v>-7.0335126189491103E-3</v>
      </c>
      <c r="O87" s="11"/>
      <c r="P87" s="7">
        <v>7200</v>
      </c>
      <c r="Q87" s="2"/>
      <c r="R87" s="6">
        <f t="shared" si="72"/>
        <v>5.9537335366864105E-2</v>
      </c>
      <c r="S87" s="2"/>
      <c r="T87" s="7">
        <v>7251</v>
      </c>
      <c r="U87" s="2"/>
      <c r="V87" s="6">
        <f t="shared" si="73"/>
        <v>0.13794087432941446</v>
      </c>
      <c r="W87" s="2"/>
      <c r="X87" s="7">
        <f t="shared" si="74"/>
        <v>-51</v>
      </c>
      <c r="Y87" s="2"/>
      <c r="Z87" s="6">
        <f t="shared" si="75"/>
        <v>-7.0335126189491103E-3</v>
      </c>
    </row>
    <row r="88" spans="1:26" s="58" customFormat="1" x14ac:dyDescent="0.25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collapsed="1" x14ac:dyDescent="0.25">
      <c r="A89" s="10"/>
      <c r="B89" s="26" t="s">
        <v>293</v>
      </c>
      <c r="C89" s="10"/>
      <c r="D89" s="4">
        <f>SUM(OSRRefD25x_0)</f>
        <v>0</v>
      </c>
      <c r="E89" s="4"/>
      <c r="F89" s="12">
        <f t="shared" ref="F89:F90" si="76">IF(D$12=0,0,D89/D$12)</f>
        <v>0</v>
      </c>
      <c r="G89" s="4"/>
      <c r="H89" s="4">
        <f>SUM(OSRRefH25x_0)</f>
        <v>0</v>
      </c>
      <c r="I89" s="4"/>
      <c r="J89" s="12">
        <f t="shared" ref="J89:J90" si="77">IF(H$12=0,0,H89/H$12)</f>
        <v>0</v>
      </c>
      <c r="K89" s="4"/>
      <c r="L89" s="4">
        <f t="shared" ref="L89:L90" si="78">+D89-H89</f>
        <v>0</v>
      </c>
      <c r="M89" s="4"/>
      <c r="N89" s="12">
        <f t="shared" ref="N89:N90" si="79">IF(H89=0,0,L89/H89)</f>
        <v>0</v>
      </c>
      <c r="O89" s="10"/>
      <c r="P89" s="4">
        <f>SUM(OSRRefP25x_0)</f>
        <v>2.33</v>
      </c>
      <c r="Q89" s="4"/>
      <c r="R89" s="12">
        <f t="shared" ref="R89:R90" si="80">IF(P$12=0,0,P89/P$12)</f>
        <v>1.9266943250665744E-5</v>
      </c>
      <c r="S89" s="4"/>
      <c r="T89" s="4">
        <f>SUM(OSRRefT25x_0)</f>
        <v>0</v>
      </c>
      <c r="U89" s="4"/>
      <c r="V89" s="12">
        <f t="shared" ref="V89:V90" si="81">IF(T$12=0,0,T89/T$12)</f>
        <v>0</v>
      </c>
      <c r="W89" s="4"/>
      <c r="X89" s="4">
        <f t="shared" ref="X89:X90" si="82">+P89-T89</f>
        <v>2.33</v>
      </c>
      <c r="Y89" s="4"/>
      <c r="Z89" s="12">
        <f t="shared" ref="Z89:Z90" si="83">IF(T89=0,0,X89/T89)</f>
        <v>0</v>
      </c>
    </row>
    <row r="90" spans="1:26" s="24" customFormat="1" hidden="1" outlineLevel="1" x14ac:dyDescent="0.25">
      <c r="A90" s="44"/>
      <c r="B90" s="11" t="str">
        <f>CONCATENATE("          ", "9150", " - ", "MISC. INCOME")</f>
        <v xml:space="preserve">          9150 - MISC. INCOME</v>
      </c>
      <c r="C90" s="11"/>
      <c r="D90" s="2">
        <f>0</f>
        <v>0</v>
      </c>
      <c r="E90" s="2"/>
      <c r="F90" s="19">
        <f t="shared" si="76"/>
        <v>0</v>
      </c>
      <c r="G90" s="2"/>
      <c r="H90" s="2"/>
      <c r="I90" s="2"/>
      <c r="J90" s="19">
        <f t="shared" si="77"/>
        <v>0</v>
      </c>
      <c r="K90" s="2"/>
      <c r="L90" s="2">
        <f t="shared" si="78"/>
        <v>0</v>
      </c>
      <c r="M90" s="2"/>
      <c r="N90" s="19">
        <f t="shared" si="79"/>
        <v>0</v>
      </c>
      <c r="O90" s="11"/>
      <c r="P90" s="2">
        <f>--2.33</f>
        <v>2.33</v>
      </c>
      <c r="Q90" s="2"/>
      <c r="R90" s="19">
        <f t="shared" si="80"/>
        <v>1.9266943250665744E-5</v>
      </c>
      <c r="S90" s="2"/>
      <c r="T90" s="2"/>
      <c r="U90" s="2"/>
      <c r="V90" s="19">
        <f t="shared" si="81"/>
        <v>0</v>
      </c>
      <c r="W90" s="2"/>
      <c r="X90" s="2">
        <f t="shared" si="82"/>
        <v>2.33</v>
      </c>
      <c r="Y90" s="2"/>
      <c r="Z90" s="19">
        <f t="shared" si="83"/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5" t="s">
        <v>277</v>
      </c>
      <c r="C92" s="25"/>
      <c r="D92" s="21">
        <f>+D23-D25+D89</f>
        <v>-38372.970000000016</v>
      </c>
      <c r="E92" s="13"/>
      <c r="F92" s="20">
        <f>IF(D$12=0,0,D92/D$12)</f>
        <v>-0.59664857786438752</v>
      </c>
      <c r="G92" s="13"/>
      <c r="H92" s="21">
        <f>+H23-H25+H89</f>
        <v>-35478.652246522921</v>
      </c>
      <c r="I92" s="13"/>
      <c r="J92" s="20">
        <f>IF(H$12=0,0,H92/H$12)</f>
        <v>-1.0644021434814268</v>
      </c>
      <c r="K92" s="16"/>
      <c r="L92" s="21">
        <f>+D92-H92</f>
        <v>-2894.3177534770948</v>
      </c>
      <c r="M92" s="16"/>
      <c r="N92" s="20">
        <f>IF(H92=0,0,L92/H92)</f>
        <v>8.1579134781275459E-2</v>
      </c>
      <c r="O92" s="26"/>
      <c r="P92" s="21">
        <f>+P23-P25+P89</f>
        <v>-136083.51000000004</v>
      </c>
      <c r="Q92" s="13"/>
      <c r="R92" s="20">
        <f>IF(P$12=0,0,P92/P$12)</f>
        <v>-1.1252846628847233</v>
      </c>
      <c r="S92" s="13"/>
      <c r="T92" s="21">
        <f>+T23-T25+T89</f>
        <v>-135326.68325110478</v>
      </c>
      <c r="U92" s="13"/>
      <c r="V92" s="20">
        <f>IF(T$12=0,0,T92/T$12)</f>
        <v>-2.5744147024902939</v>
      </c>
      <c r="W92" s="16"/>
      <c r="X92" s="21">
        <f>+P92-T92</f>
        <v>-756.82674889525515</v>
      </c>
      <c r="Y92" s="16"/>
      <c r="Z92" s="20">
        <f>IF(T92=0,0,X92/T92)</f>
        <v>5.5925906902700691E-3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128</v>
      </c>
      <c r="C94" s="10"/>
      <c r="D94" s="4">
        <v>6507.85</v>
      </c>
      <c r="E94" s="4"/>
      <c r="F94" s="12">
        <f>IF(D$12=0,0,D94/D$12)</f>
        <v>0.10118840025817009</v>
      </c>
      <c r="G94" s="4"/>
      <c r="H94" s="4">
        <v>3554</v>
      </c>
      <c r="I94" s="4"/>
      <c r="J94" s="12">
        <f>IF(H$12=0,0,H94/H$12)</f>
        <v>0.10662426497059882</v>
      </c>
      <c r="K94" s="4"/>
      <c r="L94" s="4">
        <f>+D94-H94</f>
        <v>2953.8500000000004</v>
      </c>
      <c r="M94" s="4"/>
      <c r="N94" s="12">
        <f>IF(H94=0,0,L94/H94)</f>
        <v>0.83113393359594834</v>
      </c>
      <c r="O94" s="10"/>
      <c r="P94" s="4">
        <v>14968.5</v>
      </c>
      <c r="Q94" s="4"/>
      <c r="R94" s="12">
        <f>IF(P$12=0,0,P94/P$12)</f>
        <v>0.12377563950540352</v>
      </c>
      <c r="S94" s="4"/>
      <c r="T94" s="4">
        <v>5708</v>
      </c>
      <c r="U94" s="4"/>
      <c r="V94" s="12">
        <f>IF(T$12=0,0,T94/T$12)</f>
        <v>0.1085872997755203</v>
      </c>
      <c r="W94" s="4"/>
      <c r="X94" s="4">
        <f>+P94-T94</f>
        <v>9260.5</v>
      </c>
      <c r="Y94" s="4"/>
      <c r="Z94" s="12">
        <f>IF(T94=0,0,X94/T94)</f>
        <v>1.6223721093202523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5" t="s">
        <v>126</v>
      </c>
      <c r="C96" s="25"/>
      <c r="D96" s="33">
        <f>+D92-D94</f>
        <v>-44880.820000000014</v>
      </c>
      <c r="E96" s="13"/>
      <c r="F96" s="31">
        <f>IF(D$12=0,0,D96/D$12)</f>
        <v>-0.69783697812255763</v>
      </c>
      <c r="G96" s="13"/>
      <c r="H96" s="33">
        <f>+H92-H94</f>
        <v>-39032.652246522921</v>
      </c>
      <c r="I96" s="13"/>
      <c r="J96" s="31">
        <f>IF(H$12=0,0,H96/H$12)</f>
        <v>-1.1710264084520257</v>
      </c>
      <c r="K96" s="16"/>
      <c r="L96" s="33">
        <f>D96-H96</f>
        <v>-5848.1677534770934</v>
      </c>
      <c r="M96" s="16"/>
      <c r="N96" s="31">
        <f>IF(H96=0,0,L96/H96)</f>
        <v>0.14982757811437361</v>
      </c>
      <c r="O96" s="26"/>
      <c r="P96" s="33">
        <f>+P92-P94</f>
        <v>-151052.01000000004</v>
      </c>
      <c r="Q96" s="13"/>
      <c r="R96" s="31">
        <f>IF(P$12=0,0,P96/P$12)</f>
        <v>-1.2490603023901268</v>
      </c>
      <c r="S96" s="13"/>
      <c r="T96" s="33">
        <f>+T92-T94</f>
        <v>-141034.68325110478</v>
      </c>
      <c r="U96" s="13"/>
      <c r="V96" s="31">
        <f>IF(T$12=0,0,T96/T$12)</f>
        <v>-2.6830020022658139</v>
      </c>
      <c r="W96" s="16"/>
      <c r="X96" s="33">
        <f>P96-T96</f>
        <v>-10017.326748895255</v>
      </c>
      <c r="Y96" s="16"/>
      <c r="Z96" s="31">
        <f>IF(T96=0,0,X96/T96)</f>
        <v>7.1027399204066241E-2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5" t="s">
        <v>294</v>
      </c>
      <c r="C99" s="25"/>
      <c r="D99" s="35">
        <f>SUM(D96:D98)</f>
        <v>-44880.820000000014</v>
      </c>
      <c r="E99" s="13"/>
      <c r="F99" s="34">
        <f>IF(D$12=0,0,D99/D$12)</f>
        <v>-0.69783697812255763</v>
      </c>
      <c r="G99" s="13"/>
      <c r="H99" s="35">
        <f>SUM(H96:H98)</f>
        <v>-39032.652246522921</v>
      </c>
      <c r="I99" s="13"/>
      <c r="J99" s="34">
        <f>IF(H$12=0,0,H99/H$12)</f>
        <v>-1.1710264084520257</v>
      </c>
      <c r="K99" s="16"/>
      <c r="L99" s="35">
        <f>+D99-H99</f>
        <v>-5848.1677534770934</v>
      </c>
      <c r="M99" s="16"/>
      <c r="N99" s="34">
        <f>IF(H99=0,0,L99/H99)</f>
        <v>0.14982757811437361</v>
      </c>
      <c r="O99" s="26"/>
      <c r="P99" s="35">
        <f>SUM(P96:P98)</f>
        <v>-151052.01000000004</v>
      </c>
      <c r="Q99" s="13"/>
      <c r="R99" s="34">
        <f>IF(P$12=0,0,P99/P$12)</f>
        <v>-1.2490603023901268</v>
      </c>
      <c r="S99" s="13"/>
      <c r="T99" s="35">
        <f>SUM(T96:T98)</f>
        <v>-141034.68325110478</v>
      </c>
      <c r="U99" s="13"/>
      <c r="V99" s="34">
        <f>IF(T$12=0,0,T99/T$12)</f>
        <v>-2.6830020022658139</v>
      </c>
      <c r="W99" s="16"/>
      <c r="X99" s="35">
        <f>+P99-T99</f>
        <v>-10017.326748895255</v>
      </c>
      <c r="Y99" s="16"/>
      <c r="Z99" s="34">
        <f>IF(T99=0,0,X99/T99)</f>
        <v>7.1027399204066241E-2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61">
        <v>44481.978956793981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6" t="s">
        <v>56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54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218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92D050"/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","418", " - ", "Nugget")</f>
        <v>Department 418 - Nugget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0</v>
      </c>
      <c r="E12" s="4"/>
      <c r="F12" s="12"/>
      <c r="G12" s="4"/>
      <c r="H12" s="4">
        <f>SUM(OSRRefH13x_0)</f>
        <v>55091</v>
      </c>
      <c r="I12" s="4"/>
      <c r="J12" s="12"/>
      <c r="K12" s="4"/>
      <c r="L12" s="4">
        <f t="shared" ref="L12:L14" si="0">+D12-H12</f>
        <v>-55091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81368</v>
      </c>
      <c r="U12" s="4"/>
      <c r="V12" s="12"/>
      <c r="W12" s="4"/>
      <c r="X12" s="4">
        <f t="shared" ref="X12:X14" si="2">+P12-T12</f>
        <v>-81368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19667</v>
      </c>
      <c r="I13" s="2"/>
      <c r="J13" s="19"/>
      <c r="K13" s="2"/>
      <c r="L13" s="2">
        <f t="shared" si="0"/>
        <v>-19667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v>29048</v>
      </c>
      <c r="U13" s="2"/>
      <c r="V13" s="19"/>
      <c r="W13" s="2"/>
      <c r="X13" s="2">
        <f t="shared" si="2"/>
        <v>-29048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19"/>
      <c r="G14" s="2"/>
      <c r="H14" s="2">
        <v>35424</v>
      </c>
      <c r="I14" s="2"/>
      <c r="J14" s="19"/>
      <c r="K14" s="2"/>
      <c r="L14" s="2">
        <f t="shared" si="0"/>
        <v>-35424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v>52320</v>
      </c>
      <c r="U14" s="2"/>
      <c r="V14" s="19"/>
      <c r="W14" s="2"/>
      <c r="X14" s="2">
        <f t="shared" si="2"/>
        <v>-52320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257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18180</v>
      </c>
      <c r="I16" s="4"/>
      <c r="J16" s="12">
        <f t="shared" ref="J16:J18" si="7">IF(H$12=0,0,H16/H$12)</f>
        <v>0.32999945544644316</v>
      </c>
      <c r="K16" s="4"/>
      <c r="L16" s="4">
        <f t="shared" ref="L16:L18" si="8">+D16-H16</f>
        <v>-18180</v>
      </c>
      <c r="M16" s="4"/>
      <c r="N16" s="12">
        <f t="shared" ref="N16:N18" si="9">IF(H16=0,0,L16/H16)</f>
        <v>-1</v>
      </c>
      <c r="O16" s="10"/>
      <c r="P16" s="4">
        <f>SUM(OSRRefP16x_0)</f>
        <v>-710.88</v>
      </c>
      <c r="Q16" s="4"/>
      <c r="R16" s="12">
        <f t="shared" ref="R16:R18" si="10">IF(P$12=0,0,P16/P$12)</f>
        <v>0</v>
      </c>
      <c r="S16" s="4"/>
      <c r="T16" s="4">
        <f>SUM(OSRRefT16x_0)</f>
        <v>28179</v>
      </c>
      <c r="U16" s="4"/>
      <c r="V16" s="12">
        <f t="shared" ref="V16:V18" si="11">IF(T$12=0,0,T16/T$12)</f>
        <v>0.34631550486677809</v>
      </c>
      <c r="W16" s="4"/>
      <c r="X16" s="4">
        <f t="shared" ref="X16:X18" si="12">+P16-T16</f>
        <v>-28889.88</v>
      </c>
      <c r="Y16" s="4"/>
      <c r="Z16" s="12">
        <f t="shared" ref="Z16:Z18" si="13">IF(T16=0,0,X16/T16)</f>
        <v>-1.0252272969232408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6"/>
        <v>0</v>
      </c>
      <c r="G17" s="2"/>
      <c r="H17" s="2">
        <v>18180</v>
      </c>
      <c r="I17" s="2"/>
      <c r="J17" s="19">
        <f t="shared" si="7"/>
        <v>0.32999945544644316</v>
      </c>
      <c r="K17" s="2"/>
      <c r="L17" s="2">
        <f t="shared" si="8"/>
        <v>-18180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28179</v>
      </c>
      <c r="U17" s="2"/>
      <c r="V17" s="19">
        <f t="shared" si="11"/>
        <v>0.34631550486677809</v>
      </c>
      <c r="W17" s="2"/>
      <c r="X17" s="2">
        <f t="shared" si="12"/>
        <v>-28179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6"/>
        <v>0</v>
      </c>
      <c r="G18" s="2"/>
      <c r="H18" s="2"/>
      <c r="I18" s="2"/>
      <c r="J18" s="19">
        <f t="shared" si="7"/>
        <v>0</v>
      </c>
      <c r="K18" s="2"/>
      <c r="L18" s="2">
        <f t="shared" si="8"/>
        <v>0</v>
      </c>
      <c r="M18" s="2"/>
      <c r="N18" s="19">
        <f t="shared" si="9"/>
        <v>0</v>
      </c>
      <c r="O18" s="11"/>
      <c r="P18" s="2">
        <v>-710.88</v>
      </c>
      <c r="Q18" s="2"/>
      <c r="R18" s="19">
        <f t="shared" si="10"/>
        <v>0</v>
      </c>
      <c r="S18" s="2"/>
      <c r="T18" s="2"/>
      <c r="U18" s="2"/>
      <c r="V18" s="19">
        <f t="shared" si="11"/>
        <v>0</v>
      </c>
      <c r="W18" s="2"/>
      <c r="X18" s="2">
        <f t="shared" si="12"/>
        <v>-710.88</v>
      </c>
      <c r="Y18" s="2"/>
      <c r="Z18" s="19">
        <f t="shared" si="13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108</v>
      </c>
      <c r="C20" s="25"/>
      <c r="D20" s="21">
        <f>D12-D16</f>
        <v>0</v>
      </c>
      <c r="E20" s="13"/>
      <c r="F20" s="20">
        <f>IF(D$12=0,0,D20/D$12)</f>
        <v>0</v>
      </c>
      <c r="G20" s="13"/>
      <c r="H20" s="21">
        <f>H12-H16</f>
        <v>36911</v>
      </c>
      <c r="I20" s="13"/>
      <c r="J20" s="20">
        <f>IF(H$12=0,0,H20/H$12)</f>
        <v>0.67000054455355684</v>
      </c>
      <c r="K20" s="16"/>
      <c r="L20" s="21">
        <f>+D20-H20</f>
        <v>-36911</v>
      </c>
      <c r="M20" s="16"/>
      <c r="N20" s="20">
        <f>IF(H20=0,0,L20/H20)</f>
        <v>-1</v>
      </c>
      <c r="O20" s="26"/>
      <c r="P20" s="21">
        <f>P12-P16</f>
        <v>710.88</v>
      </c>
      <c r="Q20" s="13"/>
      <c r="R20" s="20">
        <f>IF(P$12=0,0,P20/P$12)</f>
        <v>0</v>
      </c>
      <c r="S20" s="13"/>
      <c r="T20" s="21">
        <f>T12-T16</f>
        <v>53189</v>
      </c>
      <c r="U20" s="13"/>
      <c r="V20" s="20">
        <f>IF(T$12=0,0,T20/T$12)</f>
        <v>0.65368449513322191</v>
      </c>
      <c r="W20" s="16"/>
      <c r="X20" s="21">
        <f>+P20-T20</f>
        <v>-52478.12</v>
      </c>
      <c r="Y20" s="16"/>
      <c r="Z20" s="20">
        <f>IF(T20=0,0,X20/T20)</f>
        <v>-0.98663483051006795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295</v>
      </c>
      <c r="C22" s="10"/>
      <c r="D22" s="22">
        <f>SUM(OSRRefD22x_0)</f>
        <v>14035.58</v>
      </c>
      <c r="E22" s="22"/>
      <c r="F22" s="32">
        <f t="shared" ref="F22:F32" si="14">IF(D$12=0,0,D22/D$12)</f>
        <v>0</v>
      </c>
      <c r="G22" s="22"/>
      <c r="H22" s="22">
        <f>SUM(OSRRefH22x_0)</f>
        <v>37712.289463076922</v>
      </c>
      <c r="I22" s="22"/>
      <c r="J22" s="32">
        <f t="shared" ref="J22:J32" si="15">IF(H$12=0,0,H22/H$12)</f>
        <v>0.68454537879285038</v>
      </c>
      <c r="K22" s="4"/>
      <c r="L22" s="22">
        <f t="shared" ref="L22:L32" si="16">+D22-H22</f>
        <v>-23676.709463076921</v>
      </c>
      <c r="M22" s="4"/>
      <c r="N22" s="32">
        <f t="shared" ref="N22:N32" si="17">IF(H22=0,0,L22/H22)</f>
        <v>-0.62782477012588012</v>
      </c>
      <c r="O22" s="10"/>
      <c r="P22" s="22">
        <f>SUM(OSRRefP22x_0)</f>
        <v>61238.470000000016</v>
      </c>
      <c r="Q22" s="22"/>
      <c r="R22" s="32">
        <f t="shared" ref="R22:R32" si="18">IF(P$12=0,0,P22/P$12)</f>
        <v>0</v>
      </c>
      <c r="S22" s="22"/>
      <c r="T22" s="22">
        <f>SUM(OSRRefT22x_0)</f>
        <v>116915.4095892308</v>
      </c>
      <c r="U22" s="22"/>
      <c r="V22" s="32">
        <f t="shared" ref="V22:V32" si="19">IF(T$12=0,0,T22/T$12)</f>
        <v>1.4368721068384476</v>
      </c>
      <c r="W22" s="4"/>
      <c r="X22" s="22">
        <f t="shared" ref="X22:X32" si="20">+P22-T22</f>
        <v>-55676.93958923078</v>
      </c>
      <c r="Y22" s="4"/>
      <c r="Z22" s="32">
        <f t="shared" ref="Z22:Z32" si="21">IF(T22=0,0,X22/T22)</f>
        <v>-0.47621558000648057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4271.13</v>
      </c>
      <c r="E23" s="1"/>
      <c r="F23" s="5">
        <f t="shared" si="14"/>
        <v>0</v>
      </c>
      <c r="G23" s="1"/>
      <c r="H23" s="1">
        <f>SUM(OSRRefH22_0x_0)</f>
        <v>8125.6694630769198</v>
      </c>
      <c r="I23" s="1"/>
      <c r="J23" s="5">
        <f t="shared" si="15"/>
        <v>0.14749540692811747</v>
      </c>
      <c r="K23" s="1"/>
      <c r="L23" s="1">
        <f t="shared" si="16"/>
        <v>-3854.5394630769197</v>
      </c>
      <c r="M23" s="1"/>
      <c r="N23" s="5">
        <f t="shared" si="17"/>
        <v>-0.47436577141021613</v>
      </c>
      <c r="O23" s="14"/>
      <c r="P23" s="1">
        <f>SUM(OSRRefP22_0x_0)</f>
        <v>14610.920000000002</v>
      </c>
      <c r="Q23" s="1"/>
      <c r="R23" s="5">
        <f t="shared" si="18"/>
        <v>0</v>
      </c>
      <c r="S23" s="1"/>
      <c r="T23" s="1">
        <f>SUM(OSRRefT22_0x_0)</f>
        <v>24179.689589230798</v>
      </c>
      <c r="U23" s="1"/>
      <c r="V23" s="5">
        <f t="shared" si="19"/>
        <v>0.29716460511786941</v>
      </c>
      <c r="W23" s="1"/>
      <c r="X23" s="1">
        <f t="shared" si="20"/>
        <v>-9568.7695892307966</v>
      </c>
      <c r="Y23" s="1"/>
      <c r="Z23" s="5">
        <f t="shared" si="21"/>
        <v>-0.39573583250185956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440.62</v>
      </c>
      <c r="E24" s="2"/>
      <c r="F24" s="6">
        <f t="shared" si="14"/>
        <v>0</v>
      </c>
      <c r="G24" s="2"/>
      <c r="H24" s="7">
        <v>728.41254000000004</v>
      </c>
      <c r="I24" s="2"/>
      <c r="J24" s="6">
        <f t="shared" si="15"/>
        <v>1.3221987983518179E-2</v>
      </c>
      <c r="K24" s="2"/>
      <c r="L24" s="7">
        <f t="shared" si="16"/>
        <v>-287.79254000000003</v>
      </c>
      <c r="M24" s="2"/>
      <c r="N24" s="6">
        <f t="shared" si="17"/>
        <v>-0.39509553199070407</v>
      </c>
      <c r="O24" s="11"/>
      <c r="P24" s="7">
        <v>1656.07</v>
      </c>
      <c r="Q24" s="2"/>
      <c r="R24" s="6">
        <f t="shared" si="18"/>
        <v>0</v>
      </c>
      <c r="S24" s="2"/>
      <c r="T24" s="7">
        <v>2188.29882</v>
      </c>
      <c r="U24" s="2"/>
      <c r="V24" s="6">
        <f t="shared" si="19"/>
        <v>2.689385040802281E-2</v>
      </c>
      <c r="W24" s="2"/>
      <c r="X24" s="7">
        <f t="shared" si="20"/>
        <v>-532.22882000000004</v>
      </c>
      <c r="Y24" s="2"/>
      <c r="Z24" s="6">
        <f t="shared" si="21"/>
        <v>-0.24321578713824835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>
        <v>188.35</v>
      </c>
      <c r="E25" s="2"/>
      <c r="F25" s="6">
        <f t="shared" si="14"/>
        <v>0</v>
      </c>
      <c r="G25" s="2"/>
      <c r="H25" s="7">
        <v>587.82899999999995</v>
      </c>
      <c r="I25" s="2"/>
      <c r="J25" s="6">
        <f t="shared" si="15"/>
        <v>1.0670145758835381E-2</v>
      </c>
      <c r="K25" s="2"/>
      <c r="L25" s="7">
        <f t="shared" si="16"/>
        <v>-399.47899999999993</v>
      </c>
      <c r="M25" s="2"/>
      <c r="N25" s="6">
        <f t="shared" si="17"/>
        <v>-0.67958368845361483</v>
      </c>
      <c r="O25" s="11"/>
      <c r="P25" s="7">
        <v>770.48</v>
      </c>
      <c r="Q25" s="2"/>
      <c r="R25" s="6">
        <f t="shared" si="18"/>
        <v>0</v>
      </c>
      <c r="S25" s="2"/>
      <c r="T25" s="7">
        <v>1509.6328000000001</v>
      </c>
      <c r="U25" s="2"/>
      <c r="V25" s="6">
        <f t="shared" si="19"/>
        <v>1.8553151115917807E-2</v>
      </c>
      <c r="W25" s="2"/>
      <c r="X25" s="7">
        <f t="shared" si="20"/>
        <v>-739.15280000000007</v>
      </c>
      <c r="Y25" s="2"/>
      <c r="Z25" s="6">
        <f t="shared" si="21"/>
        <v>-0.48962423179994502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>
        <v>3346.16</v>
      </c>
      <c r="E26" s="2"/>
      <c r="F26" s="6">
        <f t="shared" si="14"/>
        <v>0</v>
      </c>
      <c r="G26" s="2"/>
      <c r="H26" s="7">
        <v>4648.4769230769198</v>
      </c>
      <c r="I26" s="2"/>
      <c r="J26" s="6">
        <f t="shared" si="15"/>
        <v>8.4378154745365294E-2</v>
      </c>
      <c r="K26" s="2"/>
      <c r="L26" s="7">
        <f t="shared" si="16"/>
        <v>-1302.3169230769199</v>
      </c>
      <c r="M26" s="2"/>
      <c r="N26" s="6">
        <f t="shared" si="17"/>
        <v>-0.28015992003997953</v>
      </c>
      <c r="O26" s="11"/>
      <c r="P26" s="7">
        <v>10053.08</v>
      </c>
      <c r="Q26" s="2"/>
      <c r="R26" s="6">
        <f t="shared" si="18"/>
        <v>0</v>
      </c>
      <c r="S26" s="2"/>
      <c r="T26" s="7">
        <v>14745.830769230801</v>
      </c>
      <c r="U26" s="2"/>
      <c r="V26" s="6">
        <f t="shared" si="19"/>
        <v>0.18122395498513913</v>
      </c>
      <c r="W26" s="2"/>
      <c r="X26" s="7">
        <f t="shared" si="20"/>
        <v>-4692.7507692308009</v>
      </c>
      <c r="Y26" s="2"/>
      <c r="Z26" s="6">
        <f t="shared" si="21"/>
        <v>-0.31824254887170339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>
        <v>14.91</v>
      </c>
      <c r="E27" s="2"/>
      <c r="F27" s="6">
        <f t="shared" si="14"/>
        <v>0</v>
      </c>
      <c r="G27" s="2"/>
      <c r="H27" s="7">
        <v>32.570999999999998</v>
      </c>
      <c r="I27" s="2"/>
      <c r="J27" s="6">
        <f t="shared" si="15"/>
        <v>5.9122179666370187E-4</v>
      </c>
      <c r="K27" s="2"/>
      <c r="L27" s="7">
        <f t="shared" si="16"/>
        <v>-17.660999999999998</v>
      </c>
      <c r="M27" s="2"/>
      <c r="N27" s="6">
        <f t="shared" si="17"/>
        <v>-0.54223081882656343</v>
      </c>
      <c r="O27" s="11"/>
      <c r="P27" s="7">
        <v>57.01</v>
      </c>
      <c r="Q27" s="2"/>
      <c r="R27" s="6">
        <f t="shared" si="18"/>
        <v>0</v>
      </c>
      <c r="S27" s="2"/>
      <c r="T27" s="7">
        <v>83.647199999999998</v>
      </c>
      <c r="U27" s="2"/>
      <c r="V27" s="6">
        <f t="shared" si="19"/>
        <v>1.0280110116999311E-3</v>
      </c>
      <c r="W27" s="2"/>
      <c r="X27" s="7">
        <f t="shared" si="20"/>
        <v>-26.6372</v>
      </c>
      <c r="Y27" s="2"/>
      <c r="Z27" s="6">
        <f t="shared" si="21"/>
        <v>-0.31844700121462527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25">
      <c r="A29" s="29"/>
      <c r="B29" s="11" t="str">
        <f>CONCATENATE("          ", "6116", " - ", "EDUCATIONAL BENEFITS")</f>
        <v xml:space="preserve">          6116 - EDUCATIONAL BENEFITS</v>
      </c>
      <c r="C29" s="11"/>
      <c r="D29" s="7"/>
      <c r="E29" s="2"/>
      <c r="F29" s="6">
        <f t="shared" si="14"/>
        <v>0</v>
      </c>
      <c r="G29" s="2"/>
      <c r="H29" s="7">
        <v>0</v>
      </c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/>
      <c r="Q29" s="2"/>
      <c r="R29" s="6">
        <f t="shared" si="18"/>
        <v>0</v>
      </c>
      <c r="S29" s="2"/>
      <c r="T29" s="7">
        <v>0</v>
      </c>
      <c r="U29" s="2"/>
      <c r="V29" s="6">
        <f t="shared" si="19"/>
        <v>0</v>
      </c>
      <c r="W29" s="2"/>
      <c r="X29" s="7">
        <f t="shared" si="20"/>
        <v>0</v>
      </c>
      <c r="Y29" s="2"/>
      <c r="Z29" s="6">
        <f t="shared" si="21"/>
        <v>0</v>
      </c>
    </row>
    <row r="30" spans="1:26" s="24" customFormat="1" hidden="1" outlineLevel="2" x14ac:dyDescent="0.25">
      <c r="A30" s="29"/>
      <c r="B30" s="11" t="str">
        <f>CONCATENATE("          ", "6118", " - ", "VACATION")</f>
        <v xml:space="preserve">          6118 - VACATION</v>
      </c>
      <c r="C30" s="11"/>
      <c r="D30" s="7">
        <v>144.56</v>
      </c>
      <c r="E30" s="2"/>
      <c r="F30" s="6">
        <f t="shared" si="14"/>
        <v>0</v>
      </c>
      <c r="G30" s="2"/>
      <c r="H30" s="7">
        <v>244.62</v>
      </c>
      <c r="I30" s="2"/>
      <c r="J30" s="6">
        <f t="shared" si="15"/>
        <v>4.4402897024922398E-3</v>
      </c>
      <c r="K30" s="2"/>
      <c r="L30" s="7">
        <f t="shared" si="16"/>
        <v>-100.06</v>
      </c>
      <c r="M30" s="2"/>
      <c r="N30" s="6">
        <f t="shared" si="17"/>
        <v>-0.40904259668056575</v>
      </c>
      <c r="O30" s="11"/>
      <c r="P30" s="7">
        <v>711.32</v>
      </c>
      <c r="Q30" s="2"/>
      <c r="R30" s="6">
        <f t="shared" si="18"/>
        <v>0</v>
      </c>
      <c r="S30" s="2"/>
      <c r="T30" s="7">
        <v>775.98</v>
      </c>
      <c r="U30" s="2"/>
      <c r="V30" s="6">
        <f t="shared" si="19"/>
        <v>9.5366728935207951E-3</v>
      </c>
      <c r="W30" s="2"/>
      <c r="X30" s="7">
        <f t="shared" si="20"/>
        <v>-64.659999999999968</v>
      </c>
      <c r="Y30" s="2"/>
      <c r="Z30" s="6">
        <f t="shared" si="21"/>
        <v>-8.3326889868295534E-2</v>
      </c>
    </row>
    <row r="31" spans="1:26" s="24" customFormat="1" hidden="1" outlineLevel="2" x14ac:dyDescent="0.25">
      <c r="A31" s="29"/>
      <c r="B31" s="11" t="str">
        <f>CONCATENATE("          ", "6119", " - ", "SICK LEAVE")</f>
        <v xml:space="preserve">          6119 - SICK LEAVE</v>
      </c>
      <c r="C31" s="11"/>
      <c r="D31" s="7">
        <v>136.53</v>
      </c>
      <c r="E31" s="2"/>
      <c r="F31" s="6">
        <f t="shared" si="14"/>
        <v>0</v>
      </c>
      <c r="G31" s="2"/>
      <c r="H31" s="7">
        <v>383.76</v>
      </c>
      <c r="I31" s="2"/>
      <c r="J31" s="6">
        <f t="shared" si="15"/>
        <v>6.9659290991268986E-3</v>
      </c>
      <c r="K31" s="2"/>
      <c r="L31" s="7">
        <f t="shared" si="16"/>
        <v>-247.23</v>
      </c>
      <c r="M31" s="2"/>
      <c r="N31" s="6">
        <f t="shared" si="17"/>
        <v>-0.64423076923076927</v>
      </c>
      <c r="O31" s="11"/>
      <c r="P31" s="7">
        <v>673.46</v>
      </c>
      <c r="Q31" s="2"/>
      <c r="R31" s="6">
        <f t="shared" si="18"/>
        <v>0</v>
      </c>
      <c r="S31" s="2"/>
      <c r="T31" s="7">
        <v>936.3</v>
      </c>
      <c r="U31" s="2"/>
      <c r="V31" s="6">
        <f t="shared" si="19"/>
        <v>1.150698063120637E-2</v>
      </c>
      <c r="W31" s="2"/>
      <c r="X31" s="7">
        <f t="shared" si="20"/>
        <v>-262.83999999999992</v>
      </c>
      <c r="Y31" s="2"/>
      <c r="Z31" s="6">
        <f t="shared" si="21"/>
        <v>-0.28072199081490967</v>
      </c>
    </row>
    <row r="32" spans="1:26" s="24" customFormat="1" hidden="1" outlineLevel="2" x14ac:dyDescent="0.25">
      <c r="A32" s="29"/>
      <c r="B32" s="11" t="str">
        <f>CONCATENATE("          ", "6156", " - ", "EMPLOYEE MEALS")</f>
        <v xml:space="preserve">          6156 - EMPLOYEE MEALS</v>
      </c>
      <c r="C32" s="11"/>
      <c r="D32" s="7"/>
      <c r="E32" s="2"/>
      <c r="F32" s="6">
        <f t="shared" si="14"/>
        <v>0</v>
      </c>
      <c r="G32" s="2"/>
      <c r="H32" s="7">
        <v>1500</v>
      </c>
      <c r="I32" s="2"/>
      <c r="J32" s="6">
        <f t="shared" si="15"/>
        <v>2.7227677842115772E-2</v>
      </c>
      <c r="K32" s="2"/>
      <c r="L32" s="7">
        <f t="shared" si="16"/>
        <v>-1500</v>
      </c>
      <c r="M32" s="2"/>
      <c r="N32" s="6">
        <f t="shared" si="17"/>
        <v>-1</v>
      </c>
      <c r="O32" s="11"/>
      <c r="P32" s="7">
        <v>689.5</v>
      </c>
      <c r="Q32" s="2"/>
      <c r="R32" s="6">
        <f t="shared" si="18"/>
        <v>0</v>
      </c>
      <c r="S32" s="2"/>
      <c r="T32" s="7">
        <v>3940</v>
      </c>
      <c r="U32" s="2"/>
      <c r="V32" s="6">
        <f t="shared" si="19"/>
        <v>4.8421984072362596E-2</v>
      </c>
      <c r="W32" s="2"/>
      <c r="X32" s="7">
        <f t="shared" si="20"/>
        <v>-3250.5</v>
      </c>
      <c r="Y32" s="2"/>
      <c r="Z32" s="6">
        <f t="shared" si="21"/>
        <v>-0.82499999999999996</v>
      </c>
    </row>
    <row r="33" spans="1:26" s="28" customFormat="1" outlineLevel="1" collapsed="1" x14ac:dyDescent="0.25">
      <c r="A33" s="27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2565.7299999999996</v>
      </c>
      <c r="E33" s="1"/>
      <c r="F33" s="5">
        <f t="shared" ref="F33:F43" si="22">IF(D$12=0,0,D33/D$12)</f>
        <v>0</v>
      </c>
      <c r="G33" s="1"/>
      <c r="H33" s="1">
        <f>SUM(OSRRefH22_1x_0)</f>
        <v>14881.619999999999</v>
      </c>
      <c r="I33" s="1"/>
      <c r="J33" s="5">
        <f t="shared" ref="J33:J43" si="23">IF(H$12=0,0,H33/H$12)</f>
        <v>0.27012797008585793</v>
      </c>
      <c r="K33" s="1"/>
      <c r="L33" s="1">
        <f t="shared" ref="L33:L43" si="24">+D33-H33</f>
        <v>-12315.89</v>
      </c>
      <c r="M33" s="1"/>
      <c r="N33" s="5">
        <f t="shared" ref="N33:N43" si="25">IF(H33=0,0,L33/H33)</f>
        <v>-0.82759067897177863</v>
      </c>
      <c r="O33" s="14"/>
      <c r="P33" s="1">
        <f>SUM(OSRRefP22_1x_0)</f>
        <v>20025.11</v>
      </c>
      <c r="Q33" s="1"/>
      <c r="R33" s="5">
        <f t="shared" ref="R33:R43" si="26">IF(P$12=0,0,P33/P$12)</f>
        <v>0</v>
      </c>
      <c r="S33" s="1"/>
      <c r="T33" s="1">
        <f>SUM(OSRRefT22_1x_0)</f>
        <v>38119.72</v>
      </c>
      <c r="U33" s="1"/>
      <c r="V33" s="5">
        <f t="shared" ref="V33:V43" si="27">IF(T$12=0,0,T33/T$12)</f>
        <v>0.46848539966571628</v>
      </c>
      <c r="W33" s="1"/>
      <c r="X33" s="1">
        <f t="shared" ref="X33:X43" si="28">+P33-T33</f>
        <v>-18094.61</v>
      </c>
      <c r="Y33" s="1"/>
      <c r="Z33" s="5">
        <f t="shared" ref="Z33:Z43" si="29">IF(T33=0,0,X33/T33)</f>
        <v>-0.474678460387432</v>
      </c>
    </row>
    <row r="34" spans="1:26" s="24" customFormat="1" hidden="1" outlineLevel="2" x14ac:dyDescent="0.25">
      <c r="A34" s="29"/>
      <c r="B34" s="11" t="str">
        <f>CONCATENATE("          ", "6001", " - ", "ADMINISTRATIVE SALARIES")</f>
        <v xml:space="preserve">          6001 - ADMINISTRATIVE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25">
      <c r="A35" s="29"/>
      <c r="B35" s="11" t="str">
        <f>CONCATENATE("          ", "6002", " - ", "STAFF SALARIES")</f>
        <v xml:space="preserve">          6002 - STAFF SALARIES</v>
      </c>
      <c r="C35" s="11"/>
      <c r="D35" s="7"/>
      <c r="E35" s="2"/>
      <c r="F35" s="6">
        <f t="shared" si="22"/>
        <v>0</v>
      </c>
      <c r="G35" s="2"/>
      <c r="H35" s="7">
        <v>0</v>
      </c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0</v>
      </c>
      <c r="U35" s="2"/>
      <c r="V35" s="6">
        <f t="shared" si="27"/>
        <v>0</v>
      </c>
      <c r="W35" s="2"/>
      <c r="X35" s="7">
        <f t="shared" si="28"/>
        <v>0</v>
      </c>
      <c r="Y35" s="2"/>
      <c r="Z35" s="6">
        <f t="shared" si="29"/>
        <v>0</v>
      </c>
    </row>
    <row r="36" spans="1:26" s="24" customFormat="1" hidden="1" outlineLevel="2" x14ac:dyDescent="0.25">
      <c r="A36" s="29"/>
      <c r="B36" s="11" t="str">
        <f>CONCATENATE("          ", "6003", " - ", "STAFF HOURLY-9 MONTH")</f>
        <v xml:space="preserve">          6003 - STAFF HOURLY-9 MONTH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9"/>
      <c r="B37" s="11" t="str">
        <f>CONCATENATE("          ", "6004", " - ", "STAFF HOURLY")</f>
        <v xml:space="preserve">          6004 - STAFF HOURLY</v>
      </c>
      <c r="C37" s="11"/>
      <c r="D37" s="7">
        <v>2631.61</v>
      </c>
      <c r="E37" s="2"/>
      <c r="F37" s="6">
        <f t="shared" si="22"/>
        <v>0</v>
      </c>
      <c r="G37" s="2"/>
      <c r="H37" s="7">
        <v>7746.3</v>
      </c>
      <c r="I37" s="2"/>
      <c r="J37" s="6">
        <f t="shared" si="23"/>
        <v>0.14060917391225428</v>
      </c>
      <c r="K37" s="2"/>
      <c r="L37" s="7">
        <f t="shared" si="24"/>
        <v>-5114.6900000000005</v>
      </c>
      <c r="M37" s="2"/>
      <c r="N37" s="6">
        <f t="shared" si="25"/>
        <v>-0.66027522817345063</v>
      </c>
      <c r="O37" s="11"/>
      <c r="P37" s="7">
        <v>11779.06</v>
      </c>
      <c r="Q37" s="2"/>
      <c r="R37" s="6">
        <f t="shared" si="26"/>
        <v>0</v>
      </c>
      <c r="S37" s="2"/>
      <c r="T37" s="7">
        <v>24572.7</v>
      </c>
      <c r="U37" s="2"/>
      <c r="V37" s="6">
        <f t="shared" si="27"/>
        <v>0.30199464162815848</v>
      </c>
      <c r="W37" s="2"/>
      <c r="X37" s="7">
        <f t="shared" si="28"/>
        <v>-12793.640000000001</v>
      </c>
      <c r="Y37" s="2"/>
      <c r="Z37" s="6">
        <f t="shared" si="29"/>
        <v>-0.52064445502529233</v>
      </c>
    </row>
    <row r="38" spans="1:26" s="24" customFormat="1" hidden="1" outlineLevel="2" x14ac:dyDescent="0.25">
      <c r="A38" s="29"/>
      <c r="B38" s="11" t="str">
        <f>CONCATENATE("          ", "6005", " - ", "TEMPORARY WAGES-HOURLY")</f>
        <v xml:space="preserve">          6005 - TEMPORARY WAGES-HOURLY</v>
      </c>
      <c r="C38" s="11"/>
      <c r="D38" s="7">
        <v>2808.12</v>
      </c>
      <c r="E38" s="2"/>
      <c r="F38" s="6">
        <f t="shared" si="22"/>
        <v>0</v>
      </c>
      <c r="G38" s="2"/>
      <c r="H38" s="7">
        <v>4671.5200000000004</v>
      </c>
      <c r="I38" s="2"/>
      <c r="J38" s="6">
        <f t="shared" si="23"/>
        <v>8.479642772866712E-2</v>
      </c>
      <c r="K38" s="2"/>
      <c r="L38" s="7">
        <f t="shared" si="24"/>
        <v>-1863.4000000000005</v>
      </c>
      <c r="M38" s="2"/>
      <c r="N38" s="6">
        <f t="shared" si="25"/>
        <v>-0.39888515943418851</v>
      </c>
      <c r="O38" s="11"/>
      <c r="P38" s="7">
        <v>8246.0499999999993</v>
      </c>
      <c r="Q38" s="2"/>
      <c r="R38" s="6">
        <f t="shared" si="26"/>
        <v>0</v>
      </c>
      <c r="S38" s="2"/>
      <c r="T38" s="7">
        <v>9203.36</v>
      </c>
      <c r="U38" s="2"/>
      <c r="V38" s="6">
        <f t="shared" si="27"/>
        <v>0.11310785566807591</v>
      </c>
      <c r="W38" s="2"/>
      <c r="X38" s="7">
        <f t="shared" si="28"/>
        <v>-957.31000000000131</v>
      </c>
      <c r="Y38" s="2"/>
      <c r="Z38" s="6">
        <f t="shared" si="29"/>
        <v>-0.10401744580240274</v>
      </c>
    </row>
    <row r="39" spans="1:26" s="24" customFormat="1" hidden="1" outlineLevel="2" x14ac:dyDescent="0.25">
      <c r="A39" s="29"/>
      <c r="B39" s="11" t="str">
        <f>CONCATENATE("          ", "6006", " - ", "TEMPORARY PART TIME")</f>
        <v xml:space="preserve">          6006 - TEMPORARY PART TIME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9"/>
      <c r="B40" s="11" t="str">
        <f>CONCATENATE("          ", "6007", " - ", "STUDENT HOURLY")</f>
        <v xml:space="preserve">          6007 - STUDENT HOURLY</v>
      </c>
      <c r="C40" s="11"/>
      <c r="D40" s="7">
        <v>-2874</v>
      </c>
      <c r="E40" s="2"/>
      <c r="F40" s="6">
        <f t="shared" si="22"/>
        <v>0</v>
      </c>
      <c r="G40" s="2"/>
      <c r="H40" s="7">
        <v>1323.08</v>
      </c>
      <c r="I40" s="2"/>
      <c r="J40" s="6">
        <f t="shared" si="23"/>
        <v>2.4016263999564354E-2</v>
      </c>
      <c r="K40" s="2"/>
      <c r="L40" s="7">
        <f t="shared" si="24"/>
        <v>-4197.08</v>
      </c>
      <c r="M40" s="2"/>
      <c r="N40" s="6">
        <f t="shared" si="25"/>
        <v>-3.1722042506877894</v>
      </c>
      <c r="O40" s="11"/>
      <c r="P40" s="7">
        <v>0</v>
      </c>
      <c r="Q40" s="2"/>
      <c r="R40" s="6">
        <f t="shared" si="26"/>
        <v>0</v>
      </c>
      <c r="S40" s="2"/>
      <c r="T40" s="7">
        <v>2646.16</v>
      </c>
      <c r="U40" s="2"/>
      <c r="V40" s="6">
        <f t="shared" si="27"/>
        <v>3.2520892734244418E-2</v>
      </c>
      <c r="W40" s="2"/>
      <c r="X40" s="7">
        <f t="shared" si="28"/>
        <v>-2646.16</v>
      </c>
      <c r="Y40" s="2"/>
      <c r="Z40" s="6">
        <f t="shared" si="29"/>
        <v>-1</v>
      </c>
    </row>
    <row r="41" spans="1:26" s="24" customFormat="1" hidden="1" outlineLevel="2" x14ac:dyDescent="0.25">
      <c r="A41" s="29"/>
      <c r="B41" s="11" t="str">
        <f>CONCATENATE("          ", "6008", " - ", "STUDENT HOURLY-FICA EXEMPT")</f>
        <v xml:space="preserve">          6008 - STUDENT HOURLY-FICA EXEMPT</v>
      </c>
      <c r="C41" s="11"/>
      <c r="D41" s="7"/>
      <c r="E41" s="2"/>
      <c r="F41" s="6">
        <f t="shared" si="22"/>
        <v>0</v>
      </c>
      <c r="G41" s="2"/>
      <c r="H41" s="7">
        <v>1140.72</v>
      </c>
      <c r="I41" s="2"/>
      <c r="J41" s="6">
        <f t="shared" si="23"/>
        <v>2.0706104445372204E-2</v>
      </c>
      <c r="K41" s="2"/>
      <c r="L41" s="7">
        <f t="shared" si="24"/>
        <v>-1140.72</v>
      </c>
      <c r="M41" s="2"/>
      <c r="N41" s="6">
        <f t="shared" si="25"/>
        <v>-1</v>
      </c>
      <c r="O41" s="11"/>
      <c r="P41" s="7"/>
      <c r="Q41" s="2"/>
      <c r="R41" s="6">
        <f t="shared" si="26"/>
        <v>0</v>
      </c>
      <c r="S41" s="2"/>
      <c r="T41" s="7">
        <v>1697.5</v>
      </c>
      <c r="U41" s="2"/>
      <c r="V41" s="6">
        <f t="shared" si="27"/>
        <v>2.086200963523744E-2</v>
      </c>
      <c r="W41" s="2"/>
      <c r="X41" s="7">
        <f t="shared" si="28"/>
        <v>-1697.5</v>
      </c>
      <c r="Y41" s="2"/>
      <c r="Z41" s="6">
        <f t="shared" si="29"/>
        <v>-1</v>
      </c>
    </row>
    <row r="42" spans="1:26" s="24" customFormat="1" hidden="1" outlineLevel="2" x14ac:dyDescent="0.25">
      <c r="A42" s="29"/>
      <c r="B42" s="11" t="str">
        <f>CONCATENATE("          ", "6009", " - ", "TEMPORARY-SEASONAL")</f>
        <v xml:space="preserve">          6009 - TEMPORARY-SEASONAL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4" customFormat="1" hidden="1" outlineLevel="2" x14ac:dyDescent="0.25">
      <c r="A43" s="29"/>
      <c r="B43" s="11" t="str">
        <f>CONCATENATE("          ", "6010", " - ", "GRATUITY")</f>
        <v xml:space="preserve">          6010 - GRATUITY</v>
      </c>
      <c r="C43" s="11"/>
      <c r="D43" s="7"/>
      <c r="E43" s="2"/>
      <c r="F43" s="6">
        <f t="shared" si="22"/>
        <v>0</v>
      </c>
      <c r="G43" s="2"/>
      <c r="H43" s="7">
        <v>0</v>
      </c>
      <c r="I43" s="2"/>
      <c r="J43" s="6">
        <f t="shared" si="23"/>
        <v>0</v>
      </c>
      <c r="K43" s="2"/>
      <c r="L43" s="7">
        <f t="shared" si="24"/>
        <v>0</v>
      </c>
      <c r="M43" s="2"/>
      <c r="N43" s="6">
        <f t="shared" si="25"/>
        <v>0</v>
      </c>
      <c r="O43" s="11"/>
      <c r="P43" s="7"/>
      <c r="Q43" s="2"/>
      <c r="R43" s="6">
        <f t="shared" si="26"/>
        <v>0</v>
      </c>
      <c r="S43" s="2"/>
      <c r="T43" s="7">
        <v>0</v>
      </c>
      <c r="U43" s="2"/>
      <c r="V43" s="6">
        <f t="shared" si="27"/>
        <v>0</v>
      </c>
      <c r="W43" s="2"/>
      <c r="X43" s="7">
        <f t="shared" si="28"/>
        <v>0</v>
      </c>
      <c r="Y43" s="2"/>
      <c r="Z43" s="6">
        <f t="shared" si="29"/>
        <v>0</v>
      </c>
    </row>
    <row r="44" spans="1:26" s="28" customFormat="1" outlineLevel="1" collapsed="1" x14ac:dyDescent="0.25">
      <c r="A44" s="27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50" si="30">IF(D$12=0,0,D44/D$12)</f>
        <v>0</v>
      </c>
      <c r="G44" s="1"/>
      <c r="H44" s="1">
        <f>SUM(OSRRefH22_2x_0)</f>
        <v>0</v>
      </c>
      <c r="I44" s="1"/>
      <c r="J44" s="5">
        <f t="shared" ref="J44:J50" si="31">IF(H$12=0,0,H44/H$12)</f>
        <v>0</v>
      </c>
      <c r="K44" s="1"/>
      <c r="L44" s="1">
        <f t="shared" ref="L44:L50" si="32">+D44-H44</f>
        <v>0</v>
      </c>
      <c r="M44" s="1"/>
      <c r="N44" s="5">
        <f t="shared" ref="N44:N50" si="33">IF(H44=0,0,L44/H44)</f>
        <v>0</v>
      </c>
      <c r="O44" s="14"/>
      <c r="P44" s="1">
        <f>SUM(OSRRefP22_2x_0)</f>
        <v>253.82</v>
      </c>
      <c r="Q44" s="1"/>
      <c r="R44" s="5">
        <f t="shared" ref="R44:R50" si="34">IF(P$12=0,0,P44/P$12)</f>
        <v>0</v>
      </c>
      <c r="S44" s="1"/>
      <c r="T44" s="1">
        <f>SUM(OSRRefT22_2x_0)</f>
        <v>0</v>
      </c>
      <c r="U44" s="1"/>
      <c r="V44" s="5">
        <f t="shared" ref="V44:V50" si="35">IF(T$12=0,0,T44/T$12)</f>
        <v>0</v>
      </c>
      <c r="W44" s="1"/>
      <c r="X44" s="1">
        <f t="shared" ref="X44:X50" si="36">+P44-T44</f>
        <v>253.82</v>
      </c>
      <c r="Y44" s="1"/>
      <c r="Z44" s="5">
        <f t="shared" ref="Z44:Z50" si="37">IF(T44=0,0,X44/T44)</f>
        <v>0</v>
      </c>
    </row>
    <row r="45" spans="1:26" s="24" customFormat="1" hidden="1" outlineLevel="2" x14ac:dyDescent="0.25">
      <c r="A45" s="29"/>
      <c r="B45" s="11" t="str">
        <f>CONCATENATE("          ", "6362", " - ", "ADVERTISING EXPENSE")</f>
        <v xml:space="preserve">          6362 - ADVERTISING EXPENSE</v>
      </c>
      <c r="C45" s="11"/>
      <c r="D45" s="7"/>
      <c r="E45" s="2"/>
      <c r="F45" s="6">
        <f t="shared" si="30"/>
        <v>0</v>
      </c>
      <c r="G45" s="2"/>
      <c r="H45" s="7"/>
      <c r="I45" s="2"/>
      <c r="J45" s="6">
        <f t="shared" si="31"/>
        <v>0</v>
      </c>
      <c r="K45" s="2"/>
      <c r="L45" s="7">
        <f t="shared" si="32"/>
        <v>0</v>
      </c>
      <c r="M45" s="2"/>
      <c r="N45" s="6">
        <f t="shared" si="33"/>
        <v>0</v>
      </c>
      <c r="O45" s="11"/>
      <c r="P45" s="7">
        <v>253.82</v>
      </c>
      <c r="Q45" s="2"/>
      <c r="R45" s="6">
        <f t="shared" si="34"/>
        <v>0</v>
      </c>
      <c r="S45" s="2"/>
      <c r="T45" s="7"/>
      <c r="U45" s="2"/>
      <c r="V45" s="6">
        <f t="shared" si="35"/>
        <v>0</v>
      </c>
      <c r="W45" s="2"/>
      <c r="X45" s="7">
        <f t="shared" si="36"/>
        <v>253.82</v>
      </c>
      <c r="Y45" s="2"/>
      <c r="Z45" s="6">
        <f t="shared" si="37"/>
        <v>0</v>
      </c>
    </row>
    <row r="46" spans="1:26" s="28" customFormat="1" outlineLevel="1" collapsed="1" x14ac:dyDescent="0.25">
      <c r="A46" s="27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SUM(OSRRefD22_3x_0)</f>
        <v>0</v>
      </c>
      <c r="E46" s="1"/>
      <c r="F46" s="5">
        <f t="shared" si="30"/>
        <v>0</v>
      </c>
      <c r="G46" s="1"/>
      <c r="H46" s="1">
        <f>SUM(OSRRefH22_3x_0)</f>
        <v>2202</v>
      </c>
      <c r="I46" s="1"/>
      <c r="J46" s="5">
        <f t="shared" si="31"/>
        <v>3.9970231072225956E-2</v>
      </c>
      <c r="K46" s="1"/>
      <c r="L46" s="1">
        <f t="shared" si="32"/>
        <v>-2202</v>
      </c>
      <c r="M46" s="1"/>
      <c r="N46" s="5">
        <f t="shared" si="33"/>
        <v>-1</v>
      </c>
      <c r="O46" s="14"/>
      <c r="P46" s="1">
        <f>SUM(OSRRefP22_3x_0)</f>
        <v>0.37</v>
      </c>
      <c r="Q46" s="1"/>
      <c r="R46" s="5">
        <f t="shared" si="34"/>
        <v>0</v>
      </c>
      <c r="S46" s="1"/>
      <c r="T46" s="1">
        <f>SUM(OSRRefT22_3x_0)</f>
        <v>3252</v>
      </c>
      <c r="U46" s="1"/>
      <c r="V46" s="5">
        <f t="shared" si="35"/>
        <v>3.9966571625208926E-2</v>
      </c>
      <c r="W46" s="1"/>
      <c r="X46" s="1">
        <f t="shared" si="36"/>
        <v>-3251.63</v>
      </c>
      <c r="Y46" s="1"/>
      <c r="Z46" s="5">
        <f t="shared" si="37"/>
        <v>-0.99988622386223869</v>
      </c>
    </row>
    <row r="47" spans="1:26" s="24" customFormat="1" hidden="1" outlineLevel="2" x14ac:dyDescent="0.25">
      <c r="A47" s="29"/>
      <c r="B47" s="11" t="str">
        <f>CONCATENATE("          ", "6381", " - ", "BANK/CREDIT CARD FEES")</f>
        <v xml:space="preserve">          6381 - BANK/CREDIT CARD FEES</v>
      </c>
      <c r="C47" s="11"/>
      <c r="D47" s="7"/>
      <c r="E47" s="2"/>
      <c r="F47" s="6">
        <f t="shared" si="30"/>
        <v>0</v>
      </c>
      <c r="G47" s="2"/>
      <c r="H47" s="7">
        <v>2202</v>
      </c>
      <c r="I47" s="2"/>
      <c r="J47" s="6">
        <f t="shared" si="31"/>
        <v>3.9970231072225956E-2</v>
      </c>
      <c r="K47" s="2"/>
      <c r="L47" s="7">
        <f t="shared" si="32"/>
        <v>-2202</v>
      </c>
      <c r="M47" s="2"/>
      <c r="N47" s="6">
        <f t="shared" si="33"/>
        <v>-1</v>
      </c>
      <c r="O47" s="11"/>
      <c r="P47" s="7">
        <v>0.37</v>
      </c>
      <c r="Q47" s="2"/>
      <c r="R47" s="6">
        <f t="shared" si="34"/>
        <v>0</v>
      </c>
      <c r="S47" s="2"/>
      <c r="T47" s="7">
        <v>3252</v>
      </c>
      <c r="U47" s="2"/>
      <c r="V47" s="6">
        <f t="shared" si="35"/>
        <v>3.9966571625208926E-2</v>
      </c>
      <c r="W47" s="2"/>
      <c r="X47" s="7">
        <f t="shared" si="36"/>
        <v>-3251.63</v>
      </c>
      <c r="Y47" s="2"/>
      <c r="Z47" s="6">
        <f t="shared" si="37"/>
        <v>-0.99988622386223869</v>
      </c>
    </row>
    <row r="48" spans="1:26" s="28" customFormat="1" outlineLevel="1" collapsed="1" x14ac:dyDescent="0.25">
      <c r="A48" s="27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SUM(OSRRefD22_4x_0)</f>
        <v>6701.08</v>
      </c>
      <c r="E48" s="1"/>
      <c r="F48" s="5">
        <f t="shared" si="30"/>
        <v>0</v>
      </c>
      <c r="G48" s="1"/>
      <c r="H48" s="1">
        <f>SUM(OSRRefH22_4x_0)</f>
        <v>6701</v>
      </c>
      <c r="I48" s="1"/>
      <c r="J48" s="5">
        <f t="shared" si="31"/>
        <v>0.12163511281334519</v>
      </c>
      <c r="K48" s="1"/>
      <c r="L48" s="1">
        <f t="shared" si="32"/>
        <v>7.999999999992724E-2</v>
      </c>
      <c r="M48" s="1"/>
      <c r="N48" s="5">
        <f t="shared" si="33"/>
        <v>1.1938516639296707E-5</v>
      </c>
      <c r="O48" s="14"/>
      <c r="P48" s="1">
        <f>SUM(OSRRefP22_4x_0)</f>
        <v>20191.38</v>
      </c>
      <c r="Q48" s="1"/>
      <c r="R48" s="5">
        <f t="shared" si="34"/>
        <v>0</v>
      </c>
      <c r="S48" s="1"/>
      <c r="T48" s="1">
        <f>SUM(OSRRefT22_4x_0)</f>
        <v>20191</v>
      </c>
      <c r="U48" s="1"/>
      <c r="V48" s="5">
        <f t="shared" si="35"/>
        <v>0.24814423360534854</v>
      </c>
      <c r="W48" s="1"/>
      <c r="X48" s="1">
        <f t="shared" si="36"/>
        <v>0.38000000000101863</v>
      </c>
      <c r="Y48" s="1"/>
      <c r="Z48" s="5">
        <f t="shared" si="37"/>
        <v>1.8820266455401843E-5</v>
      </c>
    </row>
    <row r="49" spans="1:26" s="24" customFormat="1" hidden="1" outlineLevel="2" x14ac:dyDescent="0.25">
      <c r="A49" s="29"/>
      <c r="B49" s="11" t="str">
        <f>CONCATENATE("          ", "6321", " - ", "BUILDING DEPRECIATION")</f>
        <v xml:space="preserve">          6321 - BUILDING DEPRECIATION</v>
      </c>
      <c r="C49" s="11"/>
      <c r="D49" s="7">
        <v>6492.96</v>
      </c>
      <c r="E49" s="2"/>
      <c r="F49" s="6">
        <f t="shared" si="30"/>
        <v>0</v>
      </c>
      <c r="G49" s="2"/>
      <c r="H49" s="7"/>
      <c r="I49" s="2"/>
      <c r="J49" s="6">
        <f t="shared" si="31"/>
        <v>0</v>
      </c>
      <c r="K49" s="2"/>
      <c r="L49" s="7">
        <f t="shared" si="32"/>
        <v>6492.96</v>
      </c>
      <c r="M49" s="2"/>
      <c r="N49" s="6">
        <f t="shared" si="33"/>
        <v>0</v>
      </c>
      <c r="O49" s="11"/>
      <c r="P49" s="7">
        <v>19567.02</v>
      </c>
      <c r="Q49" s="2"/>
      <c r="R49" s="6">
        <f t="shared" si="34"/>
        <v>0</v>
      </c>
      <c r="S49" s="2"/>
      <c r="T49" s="7"/>
      <c r="U49" s="2"/>
      <c r="V49" s="6">
        <f t="shared" si="35"/>
        <v>0</v>
      </c>
      <c r="W49" s="2"/>
      <c r="X49" s="7">
        <f t="shared" si="36"/>
        <v>19567.02</v>
      </c>
      <c r="Y49" s="2"/>
      <c r="Z49" s="6">
        <f t="shared" si="37"/>
        <v>0</v>
      </c>
    </row>
    <row r="50" spans="1:26" s="24" customFormat="1" hidden="1" outlineLevel="2" x14ac:dyDescent="0.25">
      <c r="A50" s="29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208.12</v>
      </c>
      <c r="E50" s="2"/>
      <c r="F50" s="6">
        <f t="shared" si="30"/>
        <v>0</v>
      </c>
      <c r="G50" s="2"/>
      <c r="H50" s="7">
        <v>6701</v>
      </c>
      <c r="I50" s="2"/>
      <c r="J50" s="6">
        <f t="shared" si="31"/>
        <v>0.12163511281334519</v>
      </c>
      <c r="K50" s="2"/>
      <c r="L50" s="7">
        <f t="shared" si="32"/>
        <v>-6492.88</v>
      </c>
      <c r="M50" s="2"/>
      <c r="N50" s="6">
        <f t="shared" si="33"/>
        <v>-0.96894194896284136</v>
      </c>
      <c r="O50" s="11"/>
      <c r="P50" s="7">
        <v>624.36</v>
      </c>
      <c r="Q50" s="2"/>
      <c r="R50" s="6">
        <f t="shared" si="34"/>
        <v>0</v>
      </c>
      <c r="S50" s="2"/>
      <c r="T50" s="7">
        <v>20191</v>
      </c>
      <c r="U50" s="2"/>
      <c r="V50" s="6">
        <f t="shared" si="35"/>
        <v>0.24814423360534854</v>
      </c>
      <c r="W50" s="2"/>
      <c r="X50" s="7">
        <f t="shared" si="36"/>
        <v>-19566.64</v>
      </c>
      <c r="Y50" s="2"/>
      <c r="Z50" s="6">
        <f t="shared" si="37"/>
        <v>-0.96907731167351785</v>
      </c>
    </row>
    <row r="51" spans="1:26" s="28" customFormat="1" outlineLevel="1" collapsed="1" x14ac:dyDescent="0.25">
      <c r="A51" s="27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SUM(OSRRefD22_5x_0)</f>
        <v>0</v>
      </c>
      <c r="E51" s="1"/>
      <c r="F51" s="5">
        <f t="shared" ref="F51:F59" si="38">IF(D$12=0,0,D51/D$12)</f>
        <v>0</v>
      </c>
      <c r="G51" s="1"/>
      <c r="H51" s="1">
        <f>SUM(OSRRefH22_5x_0)</f>
        <v>0</v>
      </c>
      <c r="I51" s="1"/>
      <c r="J51" s="5">
        <f t="shared" ref="J51:J59" si="39">IF(H$12=0,0,H51/H$12)</f>
        <v>0</v>
      </c>
      <c r="K51" s="1"/>
      <c r="L51" s="1">
        <f t="shared" ref="L51:L59" si="40">+D51-H51</f>
        <v>0</v>
      </c>
      <c r="M51" s="1"/>
      <c r="N51" s="5">
        <f t="shared" ref="N51:N59" si="41">IF(H51=0,0,L51/H51)</f>
        <v>0</v>
      </c>
      <c r="O51" s="14"/>
      <c r="P51" s="1">
        <f>SUM(OSRRefP22_5x_0)</f>
        <v>0</v>
      </c>
      <c r="Q51" s="1"/>
      <c r="R51" s="5">
        <f t="shared" ref="R51:R59" si="42">IF(P$12=0,0,P51/P$12)</f>
        <v>0</v>
      </c>
      <c r="S51" s="1"/>
      <c r="T51" s="1">
        <f>SUM(OSRRefT22_5x_0)</f>
        <v>20</v>
      </c>
      <c r="U51" s="1"/>
      <c r="V51" s="5">
        <f t="shared" ref="V51:V59" si="43">IF(T$12=0,0,T51/T$12)</f>
        <v>2.4579687346376952E-4</v>
      </c>
      <c r="W51" s="1"/>
      <c r="X51" s="1">
        <f t="shared" ref="X51:X59" si="44">+P51-T51</f>
        <v>-20</v>
      </c>
      <c r="Y51" s="1"/>
      <c r="Z51" s="5">
        <f t="shared" ref="Z51:Z59" si="45">IF(T51=0,0,X51/T51)</f>
        <v>-1</v>
      </c>
    </row>
    <row r="52" spans="1:26" s="24" customFormat="1" hidden="1" outlineLevel="2" x14ac:dyDescent="0.25">
      <c r="A52" s="29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38"/>
        <v>0</v>
      </c>
      <c r="G52" s="2"/>
      <c r="H52" s="7"/>
      <c r="I52" s="2"/>
      <c r="J52" s="6">
        <f t="shared" si="39"/>
        <v>0</v>
      </c>
      <c r="K52" s="2"/>
      <c r="L52" s="7">
        <f t="shared" si="40"/>
        <v>0</v>
      </c>
      <c r="M52" s="2"/>
      <c r="N52" s="6">
        <f t="shared" si="41"/>
        <v>0</v>
      </c>
      <c r="O52" s="11"/>
      <c r="P52" s="7"/>
      <c r="Q52" s="2"/>
      <c r="R52" s="6">
        <f t="shared" si="42"/>
        <v>0</v>
      </c>
      <c r="S52" s="2"/>
      <c r="T52" s="7">
        <v>20</v>
      </c>
      <c r="U52" s="2"/>
      <c r="V52" s="6">
        <f t="shared" si="43"/>
        <v>2.4579687346376952E-4</v>
      </c>
      <c r="W52" s="2"/>
      <c r="X52" s="7">
        <f t="shared" si="44"/>
        <v>-20</v>
      </c>
      <c r="Y52" s="2"/>
      <c r="Z52" s="6">
        <f t="shared" si="45"/>
        <v>-1</v>
      </c>
    </row>
    <row r="53" spans="1:26" s="28" customFormat="1" outlineLevel="1" collapsed="1" x14ac:dyDescent="0.25">
      <c r="A53" s="27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SUM(OSRRefD22_6x_0)</f>
        <v>0</v>
      </c>
      <c r="E53" s="1"/>
      <c r="F53" s="5">
        <f t="shared" si="38"/>
        <v>0</v>
      </c>
      <c r="G53" s="1"/>
      <c r="H53" s="1">
        <f>SUM(OSRRefH22_6x_0)</f>
        <v>200</v>
      </c>
      <c r="I53" s="1"/>
      <c r="J53" s="5">
        <f t="shared" si="39"/>
        <v>3.6303570456154362E-3</v>
      </c>
      <c r="K53" s="1"/>
      <c r="L53" s="1">
        <f t="shared" si="40"/>
        <v>-200</v>
      </c>
      <c r="M53" s="1"/>
      <c r="N53" s="5">
        <f t="shared" si="41"/>
        <v>-1</v>
      </c>
      <c r="O53" s="14"/>
      <c r="P53" s="1">
        <f>SUM(OSRRefP22_6x_0)</f>
        <v>1034.8599999999999</v>
      </c>
      <c r="Q53" s="1"/>
      <c r="R53" s="5">
        <f t="shared" si="42"/>
        <v>0</v>
      </c>
      <c r="S53" s="1"/>
      <c r="T53" s="1">
        <f>SUM(OSRRefT22_6x_0)</f>
        <v>600</v>
      </c>
      <c r="U53" s="1"/>
      <c r="V53" s="5">
        <f t="shared" si="43"/>
        <v>7.3739062039130865E-3</v>
      </c>
      <c r="W53" s="1"/>
      <c r="X53" s="1">
        <f t="shared" si="44"/>
        <v>434.8599999999999</v>
      </c>
      <c r="Y53" s="1"/>
      <c r="Z53" s="5">
        <f t="shared" si="45"/>
        <v>0.72476666666666645</v>
      </c>
    </row>
    <row r="54" spans="1:26" s="24" customFormat="1" hidden="1" outlineLevel="2" x14ac:dyDescent="0.25">
      <c r="A54" s="29"/>
      <c r="B54" s="11" t="str">
        <f>CONCATENATE("          ", "6351", " - ", "EQUIPMENT RENTAL")</f>
        <v xml:space="preserve">          6351 - EQUIPMENT RENTAL</v>
      </c>
      <c r="C54" s="11"/>
      <c r="D54" s="7"/>
      <c r="E54" s="2"/>
      <c r="F54" s="6">
        <f t="shared" si="38"/>
        <v>0</v>
      </c>
      <c r="G54" s="2"/>
      <c r="H54" s="7">
        <v>200</v>
      </c>
      <c r="I54" s="2"/>
      <c r="J54" s="6">
        <f t="shared" si="39"/>
        <v>3.6303570456154362E-3</v>
      </c>
      <c r="K54" s="2"/>
      <c r="L54" s="7">
        <f t="shared" si="40"/>
        <v>-200</v>
      </c>
      <c r="M54" s="2"/>
      <c r="N54" s="6">
        <f t="shared" si="41"/>
        <v>-1</v>
      </c>
      <c r="O54" s="11"/>
      <c r="P54" s="7">
        <v>1034.8599999999999</v>
      </c>
      <c r="Q54" s="2"/>
      <c r="R54" s="6">
        <f t="shared" si="42"/>
        <v>0</v>
      </c>
      <c r="S54" s="2"/>
      <c r="T54" s="7">
        <v>600</v>
      </c>
      <c r="U54" s="2"/>
      <c r="V54" s="6">
        <f t="shared" si="43"/>
        <v>7.3739062039130865E-3</v>
      </c>
      <c r="W54" s="2"/>
      <c r="X54" s="7">
        <f t="shared" si="44"/>
        <v>434.8599999999999</v>
      </c>
      <c r="Y54" s="2"/>
      <c r="Z54" s="6">
        <f t="shared" si="45"/>
        <v>0.72476666666666645</v>
      </c>
    </row>
    <row r="55" spans="1:26" s="28" customFormat="1" outlineLevel="1" collapsed="1" x14ac:dyDescent="0.25">
      <c r="A55" s="27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SUM(OSRRefD22_7x_0)</f>
        <v>0</v>
      </c>
      <c r="E55" s="1"/>
      <c r="F55" s="5">
        <f t="shared" si="38"/>
        <v>0</v>
      </c>
      <c r="G55" s="1"/>
      <c r="H55" s="1">
        <f>SUM(OSRRefH22_7x_0)</f>
        <v>0</v>
      </c>
      <c r="I55" s="1"/>
      <c r="J55" s="5">
        <f t="shared" si="39"/>
        <v>0</v>
      </c>
      <c r="K55" s="1"/>
      <c r="L55" s="1">
        <f t="shared" si="40"/>
        <v>0</v>
      </c>
      <c r="M55" s="1"/>
      <c r="N55" s="5">
        <f t="shared" si="41"/>
        <v>0</v>
      </c>
      <c r="O55" s="14"/>
      <c r="P55" s="1">
        <f>SUM(OSRRefP22_7x_0)</f>
        <v>1314.55</v>
      </c>
      <c r="Q55" s="1"/>
      <c r="R55" s="5">
        <f t="shared" si="42"/>
        <v>0</v>
      </c>
      <c r="S55" s="1"/>
      <c r="T55" s="1">
        <f>SUM(OSRRefT22_7x_0)</f>
        <v>1400</v>
      </c>
      <c r="U55" s="1"/>
      <c r="V55" s="5">
        <f t="shared" si="43"/>
        <v>1.7205781142463867E-2</v>
      </c>
      <c r="W55" s="1"/>
      <c r="X55" s="1">
        <f t="shared" si="44"/>
        <v>-85.450000000000045</v>
      </c>
      <c r="Y55" s="1"/>
      <c r="Z55" s="5">
        <f t="shared" si="45"/>
        <v>-6.1035714285714318E-2</v>
      </c>
    </row>
    <row r="56" spans="1:26" s="24" customFormat="1" hidden="1" outlineLevel="2" x14ac:dyDescent="0.25">
      <c r="A56" s="29"/>
      <c r="B56" s="11" t="str">
        <f>CONCATENATE("          ", "6279", " - ", "GENERAL EXPENSE")</f>
        <v xml:space="preserve">          6279 - GENERAL EXPENSE</v>
      </c>
      <c r="C56" s="11"/>
      <c r="D56" s="7"/>
      <c r="E56" s="2"/>
      <c r="F56" s="6">
        <f t="shared" si="38"/>
        <v>0</v>
      </c>
      <c r="G56" s="2"/>
      <c r="H56" s="7"/>
      <c r="I56" s="2"/>
      <c r="J56" s="6">
        <f t="shared" si="39"/>
        <v>0</v>
      </c>
      <c r="K56" s="2"/>
      <c r="L56" s="7">
        <f t="shared" si="40"/>
        <v>0</v>
      </c>
      <c r="M56" s="2"/>
      <c r="N56" s="6">
        <f t="shared" si="41"/>
        <v>0</v>
      </c>
      <c r="O56" s="11"/>
      <c r="P56" s="7">
        <v>1314.55</v>
      </c>
      <c r="Q56" s="2"/>
      <c r="R56" s="6">
        <f t="shared" si="42"/>
        <v>0</v>
      </c>
      <c r="S56" s="2"/>
      <c r="T56" s="7">
        <v>1400</v>
      </c>
      <c r="U56" s="2"/>
      <c r="V56" s="6">
        <f t="shared" si="43"/>
        <v>1.7205781142463867E-2</v>
      </c>
      <c r="W56" s="2"/>
      <c r="X56" s="7">
        <f t="shared" si="44"/>
        <v>-85.450000000000045</v>
      </c>
      <c r="Y56" s="2"/>
      <c r="Z56" s="6">
        <f t="shared" si="45"/>
        <v>-6.1035714285714318E-2</v>
      </c>
    </row>
    <row r="57" spans="1:26" s="28" customFormat="1" outlineLevel="1" collapsed="1" x14ac:dyDescent="0.25">
      <c r="A57" s="27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SUM(OSRRefD22_8x_0)</f>
        <v>293.64</v>
      </c>
      <c r="E57" s="1"/>
      <c r="F57" s="5">
        <f t="shared" si="38"/>
        <v>0</v>
      </c>
      <c r="G57" s="1"/>
      <c r="H57" s="1">
        <f>SUM(OSRRefH22_8x_0)</f>
        <v>1102</v>
      </c>
      <c r="I57" s="1"/>
      <c r="J57" s="5">
        <f t="shared" si="39"/>
        <v>2.0003267321341053E-2</v>
      </c>
      <c r="K57" s="1"/>
      <c r="L57" s="1">
        <f t="shared" si="40"/>
        <v>-808.36</v>
      </c>
      <c r="M57" s="1"/>
      <c r="N57" s="5">
        <f t="shared" si="41"/>
        <v>-0.73353901996370241</v>
      </c>
      <c r="O57" s="14"/>
      <c r="P57" s="1">
        <f>SUM(OSRRefP22_8x_0)</f>
        <v>2324.92</v>
      </c>
      <c r="Q57" s="1"/>
      <c r="R57" s="5">
        <f t="shared" si="42"/>
        <v>0</v>
      </c>
      <c r="S57" s="1"/>
      <c r="T57" s="1">
        <f>SUM(OSRRefT22_8x_0)</f>
        <v>12078</v>
      </c>
      <c r="U57" s="1"/>
      <c r="V57" s="5">
        <f t="shared" si="43"/>
        <v>0.14843673188477041</v>
      </c>
      <c r="W57" s="1"/>
      <c r="X57" s="1">
        <f t="shared" si="44"/>
        <v>-9753.08</v>
      </c>
      <c r="Y57" s="1"/>
      <c r="Z57" s="5">
        <f t="shared" si="45"/>
        <v>-0.80750786554065246</v>
      </c>
    </row>
    <row r="58" spans="1:26" s="24" customFormat="1" hidden="1" outlineLevel="2" x14ac:dyDescent="0.25">
      <c r="A58" s="29"/>
      <c r="B58" s="11" t="str">
        <f>CONCATENATE("          ", "6373", " - ", "MAINTENANCE CONTRACTS")</f>
        <v xml:space="preserve">          6373 - MAINTENANCE CONTRACTS</v>
      </c>
      <c r="C58" s="11"/>
      <c r="D58" s="7">
        <v>198.46</v>
      </c>
      <c r="E58" s="2"/>
      <c r="F58" s="6">
        <f t="shared" si="38"/>
        <v>0</v>
      </c>
      <c r="G58" s="2"/>
      <c r="H58" s="7"/>
      <c r="I58" s="2"/>
      <c r="J58" s="6">
        <f t="shared" si="39"/>
        <v>0</v>
      </c>
      <c r="K58" s="2"/>
      <c r="L58" s="7">
        <f t="shared" si="40"/>
        <v>198.46</v>
      </c>
      <c r="M58" s="2"/>
      <c r="N58" s="6">
        <f t="shared" si="41"/>
        <v>0</v>
      </c>
      <c r="O58" s="11"/>
      <c r="P58" s="7">
        <v>198.46</v>
      </c>
      <c r="Q58" s="2"/>
      <c r="R58" s="6">
        <f t="shared" si="42"/>
        <v>0</v>
      </c>
      <c r="S58" s="2"/>
      <c r="T58" s="7">
        <v>500</v>
      </c>
      <c r="U58" s="2"/>
      <c r="V58" s="6">
        <f t="shared" si="43"/>
        <v>6.1449218365942386E-3</v>
      </c>
      <c r="W58" s="2"/>
      <c r="X58" s="7">
        <f t="shared" si="44"/>
        <v>-301.53999999999996</v>
      </c>
      <c r="Y58" s="2"/>
      <c r="Z58" s="6">
        <f t="shared" si="45"/>
        <v>-0.60307999999999995</v>
      </c>
    </row>
    <row r="59" spans="1:26" s="24" customFormat="1" hidden="1" outlineLevel="2" x14ac:dyDescent="0.25">
      <c r="A59" s="29"/>
      <c r="B59" s="11" t="str">
        <f>CONCATENATE("          ", "6375", " - ", "OUTSIDE REPAIRS &amp; MAINTENANCE")</f>
        <v xml:space="preserve">          6375 - OUTSIDE REPAIRS &amp; MAINTENANCE</v>
      </c>
      <c r="C59" s="11"/>
      <c r="D59" s="7">
        <v>95.18</v>
      </c>
      <c r="E59" s="2"/>
      <c r="F59" s="6">
        <f t="shared" si="38"/>
        <v>0</v>
      </c>
      <c r="G59" s="2"/>
      <c r="H59" s="7">
        <v>1102</v>
      </c>
      <c r="I59" s="2"/>
      <c r="J59" s="6">
        <f t="shared" si="39"/>
        <v>2.0003267321341053E-2</v>
      </c>
      <c r="K59" s="2"/>
      <c r="L59" s="7">
        <f t="shared" si="40"/>
        <v>-1006.8199999999999</v>
      </c>
      <c r="M59" s="2"/>
      <c r="N59" s="6">
        <f t="shared" si="41"/>
        <v>-0.91362976406533569</v>
      </c>
      <c r="O59" s="11"/>
      <c r="P59" s="7">
        <v>2126.46</v>
      </c>
      <c r="Q59" s="2"/>
      <c r="R59" s="6">
        <f t="shared" si="42"/>
        <v>0</v>
      </c>
      <c r="S59" s="2"/>
      <c r="T59" s="7">
        <v>11578</v>
      </c>
      <c r="U59" s="2"/>
      <c r="V59" s="6">
        <f t="shared" si="43"/>
        <v>0.14229181004817618</v>
      </c>
      <c r="W59" s="2"/>
      <c r="X59" s="7">
        <f t="shared" si="44"/>
        <v>-9451.5400000000009</v>
      </c>
      <c r="Y59" s="2"/>
      <c r="Z59" s="6">
        <f t="shared" si="45"/>
        <v>-0.81633615477629995</v>
      </c>
    </row>
    <row r="60" spans="1:26" s="28" customFormat="1" outlineLevel="1" collapsed="1" x14ac:dyDescent="0.25">
      <c r="A60" s="27"/>
      <c r="B60" s="14" t="str">
        <f>CONCATENATE("     ","Services                                          ")</f>
        <v xml:space="preserve">     Services                                          </v>
      </c>
      <c r="C60" s="14"/>
      <c r="D60" s="1">
        <f>SUM(OSRRefD22_9x_0)</f>
        <v>0</v>
      </c>
      <c r="E60" s="1"/>
      <c r="F60" s="5">
        <f t="shared" ref="F60:F64" si="46">IF(D$12=0,0,D60/D$12)</f>
        <v>0</v>
      </c>
      <c r="G60" s="1"/>
      <c r="H60" s="1">
        <f>SUM(OSRRefH22_9x_0)</f>
        <v>3225</v>
      </c>
      <c r="I60" s="1"/>
      <c r="J60" s="5">
        <f t="shared" ref="J60:J64" si="47">IF(H$12=0,0,H60/H$12)</f>
        <v>5.8539507360548908E-2</v>
      </c>
      <c r="K60" s="1"/>
      <c r="L60" s="1">
        <f t="shared" ref="L60:L64" si="48">+D60-H60</f>
        <v>-3225</v>
      </c>
      <c r="M60" s="1"/>
      <c r="N60" s="5">
        <f t="shared" ref="N60:N64" si="49">IF(H60=0,0,L60/H60)</f>
        <v>-1</v>
      </c>
      <c r="O60" s="14"/>
      <c r="P60" s="1">
        <f>SUM(OSRRefP22_9x_0)</f>
        <v>260</v>
      </c>
      <c r="Q60" s="1"/>
      <c r="R60" s="5">
        <f t="shared" ref="R60:R64" si="50">IF(P$12=0,0,P60/P$12)</f>
        <v>0</v>
      </c>
      <c r="S60" s="1"/>
      <c r="T60" s="1">
        <f>SUM(OSRRefT22_9x_0)</f>
        <v>6750</v>
      </c>
      <c r="U60" s="1"/>
      <c r="V60" s="5">
        <f t="shared" ref="V60:V64" si="51">IF(T$12=0,0,T60/T$12)</f>
        <v>8.2956444794022213E-2</v>
      </c>
      <c r="W60" s="1"/>
      <c r="X60" s="1">
        <f t="shared" ref="X60:X64" si="52">+P60-T60</f>
        <v>-6490</v>
      </c>
      <c r="Y60" s="1"/>
      <c r="Z60" s="5">
        <f t="shared" ref="Z60:Z64" si="53">IF(T60=0,0,X60/T60)</f>
        <v>-0.96148148148148149</v>
      </c>
    </row>
    <row r="61" spans="1:26" s="24" customFormat="1" hidden="1" outlineLevel="2" x14ac:dyDescent="0.25">
      <c r="A61" s="29"/>
      <c r="B61" s="11" t="str">
        <f>CONCATENATE("          ", "6283", " - ", "PLANT SERVICE")</f>
        <v xml:space="preserve">          6283 - PLANT SERVICE</v>
      </c>
      <c r="C61" s="11"/>
      <c r="D61" s="7"/>
      <c r="E61" s="2"/>
      <c r="F61" s="6">
        <f t="shared" si="46"/>
        <v>0</v>
      </c>
      <c r="G61" s="2"/>
      <c r="H61" s="7">
        <v>100</v>
      </c>
      <c r="I61" s="2"/>
      <c r="J61" s="6">
        <f t="shared" si="47"/>
        <v>1.8151785228077181E-3</v>
      </c>
      <c r="K61" s="2"/>
      <c r="L61" s="7">
        <f t="shared" si="48"/>
        <v>-100</v>
      </c>
      <c r="M61" s="2"/>
      <c r="N61" s="6">
        <f t="shared" si="49"/>
        <v>-1</v>
      </c>
      <c r="O61" s="11"/>
      <c r="P61" s="7"/>
      <c r="Q61" s="2"/>
      <c r="R61" s="6">
        <f t="shared" si="50"/>
        <v>0</v>
      </c>
      <c r="S61" s="2"/>
      <c r="T61" s="7">
        <v>300</v>
      </c>
      <c r="U61" s="2"/>
      <c r="V61" s="6">
        <f t="shared" si="51"/>
        <v>3.6869531019565432E-3</v>
      </c>
      <c r="W61" s="2"/>
      <c r="X61" s="7">
        <f t="shared" si="52"/>
        <v>-300</v>
      </c>
      <c r="Y61" s="2"/>
      <c r="Z61" s="6">
        <f t="shared" si="53"/>
        <v>-1</v>
      </c>
    </row>
    <row r="62" spans="1:26" s="24" customFormat="1" hidden="1" outlineLevel="2" x14ac:dyDescent="0.25">
      <c r="A62" s="29"/>
      <c r="B62" s="11" t="str">
        <f>CONCATENATE("          ", "6284", " - ", "TRASH REMOVAL EXPENSE")</f>
        <v xml:space="preserve">          6284 - TRASH REMOVAL EXPENSE</v>
      </c>
      <c r="C62" s="11"/>
      <c r="D62" s="7"/>
      <c r="E62" s="2"/>
      <c r="F62" s="6">
        <f t="shared" si="46"/>
        <v>0</v>
      </c>
      <c r="G62" s="2"/>
      <c r="H62" s="7"/>
      <c r="I62" s="2"/>
      <c r="J62" s="6">
        <f t="shared" si="47"/>
        <v>0</v>
      </c>
      <c r="K62" s="2"/>
      <c r="L62" s="7">
        <f t="shared" si="48"/>
        <v>0</v>
      </c>
      <c r="M62" s="2"/>
      <c r="N62" s="6">
        <f t="shared" si="49"/>
        <v>0</v>
      </c>
      <c r="O62" s="11"/>
      <c r="P62" s="7"/>
      <c r="Q62" s="2"/>
      <c r="R62" s="6">
        <f t="shared" si="50"/>
        <v>0</v>
      </c>
      <c r="S62" s="2"/>
      <c r="T62" s="7">
        <v>0</v>
      </c>
      <c r="U62" s="2"/>
      <c r="V62" s="6">
        <f t="shared" si="51"/>
        <v>0</v>
      </c>
      <c r="W62" s="2"/>
      <c r="X62" s="7">
        <f t="shared" si="52"/>
        <v>0</v>
      </c>
      <c r="Y62" s="2"/>
      <c r="Z62" s="6">
        <f t="shared" si="53"/>
        <v>0</v>
      </c>
    </row>
    <row r="63" spans="1:26" s="24" customFormat="1" hidden="1" outlineLevel="2" x14ac:dyDescent="0.25">
      <c r="A63" s="29"/>
      <c r="B63" s="11" t="str">
        <f>CONCATENATE("          ", "6285", " - ", "JANITORIAL SERVICES")</f>
        <v xml:space="preserve">          6285 - JANITORIAL SERVICES</v>
      </c>
      <c r="C63" s="11"/>
      <c r="D63" s="7"/>
      <c r="E63" s="2"/>
      <c r="F63" s="6">
        <f t="shared" si="46"/>
        <v>0</v>
      </c>
      <c r="G63" s="2"/>
      <c r="H63" s="7">
        <v>3100</v>
      </c>
      <c r="I63" s="2"/>
      <c r="J63" s="6">
        <f t="shared" si="47"/>
        <v>5.6270534207039265E-2</v>
      </c>
      <c r="K63" s="2"/>
      <c r="L63" s="7">
        <f t="shared" si="48"/>
        <v>-3100</v>
      </c>
      <c r="M63" s="2"/>
      <c r="N63" s="6">
        <f t="shared" si="49"/>
        <v>-1</v>
      </c>
      <c r="O63" s="11"/>
      <c r="P63" s="7">
        <v>260</v>
      </c>
      <c r="Q63" s="2"/>
      <c r="R63" s="6">
        <f t="shared" si="50"/>
        <v>0</v>
      </c>
      <c r="S63" s="2"/>
      <c r="T63" s="7">
        <v>6200</v>
      </c>
      <c r="U63" s="2"/>
      <c r="V63" s="6">
        <f t="shared" si="51"/>
        <v>7.6197030773768562E-2</v>
      </c>
      <c r="W63" s="2"/>
      <c r="X63" s="7">
        <f t="shared" si="52"/>
        <v>-5940</v>
      </c>
      <c r="Y63" s="2"/>
      <c r="Z63" s="6">
        <f t="shared" si="53"/>
        <v>-0.95806451612903221</v>
      </c>
    </row>
    <row r="64" spans="1:26" s="24" customFormat="1" hidden="1" outlineLevel="2" x14ac:dyDescent="0.25">
      <c r="A64" s="29"/>
      <c r="B64" s="11" t="str">
        <f>CONCATENATE("          ", "6286", " - ", "LAUNDRY EXPENSE")</f>
        <v xml:space="preserve">          6286 - LAUNDRY EXPENSE</v>
      </c>
      <c r="C64" s="11"/>
      <c r="D64" s="7"/>
      <c r="E64" s="2"/>
      <c r="F64" s="6">
        <f t="shared" si="46"/>
        <v>0</v>
      </c>
      <c r="G64" s="2"/>
      <c r="H64" s="7">
        <v>25</v>
      </c>
      <c r="I64" s="2"/>
      <c r="J64" s="6">
        <f t="shared" si="47"/>
        <v>4.5379463070192952E-4</v>
      </c>
      <c r="K64" s="2"/>
      <c r="L64" s="7">
        <f t="shared" si="48"/>
        <v>-25</v>
      </c>
      <c r="M64" s="2"/>
      <c r="N64" s="6">
        <f t="shared" si="49"/>
        <v>-1</v>
      </c>
      <c r="O64" s="11"/>
      <c r="P64" s="7"/>
      <c r="Q64" s="2"/>
      <c r="R64" s="6">
        <f t="shared" si="50"/>
        <v>0</v>
      </c>
      <c r="S64" s="2"/>
      <c r="T64" s="7">
        <v>250</v>
      </c>
      <c r="U64" s="2"/>
      <c r="V64" s="6">
        <f t="shared" si="51"/>
        <v>3.0724609182971193E-3</v>
      </c>
      <c r="W64" s="2"/>
      <c r="X64" s="7">
        <f t="shared" si="52"/>
        <v>-250</v>
      </c>
      <c r="Y64" s="2"/>
      <c r="Z64" s="6">
        <f t="shared" si="53"/>
        <v>-1</v>
      </c>
    </row>
    <row r="65" spans="1:26" s="28" customFormat="1" outlineLevel="1" collapsed="1" x14ac:dyDescent="0.25">
      <c r="A65" s="27"/>
      <c r="B65" s="14" t="str">
        <f>CONCATENATE("     ","Subscriptions &amp; Dues                              ")</f>
        <v xml:space="preserve">     Subscriptions &amp; Dues                              </v>
      </c>
      <c r="C65" s="14"/>
      <c r="D65" s="1">
        <f>SUM(OSRRefD22_10x_0)</f>
        <v>204</v>
      </c>
      <c r="E65" s="1"/>
      <c r="F65" s="5">
        <f t="shared" ref="F65:F75" si="54">IF(D$12=0,0,D65/D$12)</f>
        <v>0</v>
      </c>
      <c r="G65" s="1"/>
      <c r="H65" s="1">
        <f>SUM(OSRRefH22_10x_0)</f>
        <v>200</v>
      </c>
      <c r="I65" s="1"/>
      <c r="J65" s="5">
        <f t="shared" ref="J65:J75" si="55">IF(H$12=0,0,H65/H$12)</f>
        <v>3.6303570456154362E-3</v>
      </c>
      <c r="K65" s="1"/>
      <c r="L65" s="1">
        <f t="shared" ref="L65:L75" si="56">+D65-H65</f>
        <v>4</v>
      </c>
      <c r="M65" s="1"/>
      <c r="N65" s="5">
        <f t="shared" ref="N65:N75" si="57">IF(H65=0,0,L65/H65)</f>
        <v>0.02</v>
      </c>
      <c r="O65" s="14"/>
      <c r="P65" s="1">
        <f>SUM(OSRRefP22_10x_0)</f>
        <v>204</v>
      </c>
      <c r="Q65" s="1"/>
      <c r="R65" s="5">
        <f t="shared" ref="R65:R75" si="58">IF(P$12=0,0,P65/P$12)</f>
        <v>0</v>
      </c>
      <c r="S65" s="1"/>
      <c r="T65" s="1">
        <f>SUM(OSRRefT22_10x_0)</f>
        <v>400</v>
      </c>
      <c r="U65" s="1"/>
      <c r="V65" s="5">
        <f t="shared" ref="V65:V75" si="59">IF(T$12=0,0,T65/T$12)</f>
        <v>4.9159374692753907E-3</v>
      </c>
      <c r="W65" s="1"/>
      <c r="X65" s="1">
        <f t="shared" ref="X65:X75" si="60">+P65-T65</f>
        <v>-196</v>
      </c>
      <c r="Y65" s="1"/>
      <c r="Z65" s="5">
        <f t="shared" ref="Z65:Z75" si="61">IF(T65=0,0,X65/T65)</f>
        <v>-0.49</v>
      </c>
    </row>
    <row r="66" spans="1:26" s="24" customFormat="1" hidden="1" outlineLevel="2" x14ac:dyDescent="0.25">
      <c r="A66" s="29"/>
      <c r="B66" s="11" t="str">
        <f>CONCATENATE("          ", "6275", " - ", "SUBSCRIPTIONS")</f>
        <v xml:space="preserve">          6275 - SUBSCRIPTIONS</v>
      </c>
      <c r="C66" s="11"/>
      <c r="D66" s="7">
        <v>204</v>
      </c>
      <c r="E66" s="2"/>
      <c r="F66" s="6">
        <f t="shared" si="54"/>
        <v>0</v>
      </c>
      <c r="G66" s="2"/>
      <c r="H66" s="7">
        <v>200</v>
      </c>
      <c r="I66" s="2"/>
      <c r="J66" s="6">
        <f t="shared" si="55"/>
        <v>3.6303570456154362E-3</v>
      </c>
      <c r="K66" s="2"/>
      <c r="L66" s="7">
        <f t="shared" si="56"/>
        <v>4</v>
      </c>
      <c r="M66" s="2"/>
      <c r="N66" s="6">
        <f t="shared" si="57"/>
        <v>0.02</v>
      </c>
      <c r="O66" s="11"/>
      <c r="P66" s="7">
        <v>204</v>
      </c>
      <c r="Q66" s="2"/>
      <c r="R66" s="6">
        <f t="shared" si="58"/>
        <v>0</v>
      </c>
      <c r="S66" s="2"/>
      <c r="T66" s="7">
        <v>400</v>
      </c>
      <c r="U66" s="2"/>
      <c r="V66" s="6">
        <f t="shared" si="59"/>
        <v>4.9159374692753907E-3</v>
      </c>
      <c r="W66" s="2"/>
      <c r="X66" s="7">
        <f t="shared" si="60"/>
        <v>-196</v>
      </c>
      <c r="Y66" s="2"/>
      <c r="Z66" s="6">
        <f t="shared" si="61"/>
        <v>-0.49</v>
      </c>
    </row>
    <row r="67" spans="1:26" s="28" customFormat="1" outlineLevel="1" collapsed="1" x14ac:dyDescent="0.25">
      <c r="A67" s="27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SUM(OSRRefD22_11x_0)</f>
        <v>0</v>
      </c>
      <c r="E67" s="1"/>
      <c r="F67" s="5">
        <f t="shared" si="54"/>
        <v>0</v>
      </c>
      <c r="G67" s="1"/>
      <c r="H67" s="1">
        <f>SUM(OSRRefH22_11x_0)</f>
        <v>500</v>
      </c>
      <c r="I67" s="1"/>
      <c r="J67" s="5">
        <f t="shared" si="55"/>
        <v>9.0758926140385911E-3</v>
      </c>
      <c r="K67" s="1"/>
      <c r="L67" s="1">
        <f t="shared" si="56"/>
        <v>-500</v>
      </c>
      <c r="M67" s="1"/>
      <c r="N67" s="5">
        <f t="shared" si="57"/>
        <v>-1</v>
      </c>
      <c r="O67" s="14"/>
      <c r="P67" s="1">
        <f>SUM(OSRRefP22_11x_0)</f>
        <v>943.54</v>
      </c>
      <c r="Q67" s="1"/>
      <c r="R67" s="5">
        <f t="shared" si="58"/>
        <v>0</v>
      </c>
      <c r="S67" s="1"/>
      <c r="T67" s="1">
        <f>SUM(OSRRefT22_11x_0)</f>
        <v>7850</v>
      </c>
      <c r="U67" s="1"/>
      <c r="V67" s="5">
        <f t="shared" si="59"/>
        <v>9.6475272834529543E-2</v>
      </c>
      <c r="W67" s="1"/>
      <c r="X67" s="1">
        <f t="shared" si="60"/>
        <v>-6906.46</v>
      </c>
      <c r="Y67" s="1"/>
      <c r="Z67" s="5">
        <f t="shared" si="61"/>
        <v>-0.87980382165605098</v>
      </c>
    </row>
    <row r="68" spans="1:26" s="24" customFormat="1" hidden="1" outlineLevel="2" x14ac:dyDescent="0.25">
      <c r="A68" s="29"/>
      <c r="B68" s="11" t="str">
        <f>CONCATENATE("          ", "6235", " - ", "COVID-19 EXPENSES")</f>
        <v xml:space="preserve">          6235 - COVID-19 EXPENSES</v>
      </c>
      <c r="C68" s="11"/>
      <c r="D68" s="7"/>
      <c r="E68" s="2"/>
      <c r="F68" s="6">
        <f t="shared" si="54"/>
        <v>0</v>
      </c>
      <c r="G68" s="2"/>
      <c r="H68" s="7">
        <v>175</v>
      </c>
      <c r="I68" s="2"/>
      <c r="J68" s="6">
        <f t="shared" si="55"/>
        <v>3.1765624149135067E-3</v>
      </c>
      <c r="K68" s="2"/>
      <c r="L68" s="7">
        <f t="shared" si="56"/>
        <v>-175</v>
      </c>
      <c r="M68" s="2"/>
      <c r="N68" s="6">
        <f t="shared" si="57"/>
        <v>-1</v>
      </c>
      <c r="O68" s="11"/>
      <c r="P68" s="7"/>
      <c r="Q68" s="2"/>
      <c r="R68" s="6">
        <f t="shared" si="58"/>
        <v>0</v>
      </c>
      <c r="S68" s="2"/>
      <c r="T68" s="7">
        <v>600</v>
      </c>
      <c r="U68" s="2"/>
      <c r="V68" s="6">
        <f t="shared" si="59"/>
        <v>7.3739062039130865E-3</v>
      </c>
      <c r="W68" s="2"/>
      <c r="X68" s="7">
        <f t="shared" si="60"/>
        <v>-600</v>
      </c>
      <c r="Y68" s="2"/>
      <c r="Z68" s="6">
        <f t="shared" si="61"/>
        <v>-1</v>
      </c>
    </row>
    <row r="69" spans="1:26" s="24" customFormat="1" hidden="1" outlineLevel="2" x14ac:dyDescent="0.25">
      <c r="A69" s="29"/>
      <c r="B69" s="11" t="str">
        <f>CONCATENATE("          ", "6237", " - ", "JANITORIAL SUPPLIES")</f>
        <v xml:space="preserve">          6237 - JANITORIAL SUPPLIES</v>
      </c>
      <c r="C69" s="11"/>
      <c r="D69" s="7"/>
      <c r="E69" s="2"/>
      <c r="F69" s="6">
        <f t="shared" si="54"/>
        <v>0</v>
      </c>
      <c r="G69" s="2"/>
      <c r="H69" s="7">
        <v>75</v>
      </c>
      <c r="I69" s="2"/>
      <c r="J69" s="6">
        <f t="shared" si="55"/>
        <v>1.3613838921057886E-3</v>
      </c>
      <c r="K69" s="2"/>
      <c r="L69" s="7">
        <f t="shared" si="56"/>
        <v>-75</v>
      </c>
      <c r="M69" s="2"/>
      <c r="N69" s="6">
        <f t="shared" si="57"/>
        <v>-1</v>
      </c>
      <c r="O69" s="11"/>
      <c r="P69" s="7">
        <v>796.76</v>
      </c>
      <c r="Q69" s="2"/>
      <c r="R69" s="6">
        <f t="shared" si="58"/>
        <v>0</v>
      </c>
      <c r="S69" s="2"/>
      <c r="T69" s="7">
        <v>400</v>
      </c>
      <c r="U69" s="2"/>
      <c r="V69" s="6">
        <f t="shared" si="59"/>
        <v>4.9159374692753907E-3</v>
      </c>
      <c r="W69" s="2"/>
      <c r="X69" s="7">
        <f t="shared" si="60"/>
        <v>396.76</v>
      </c>
      <c r="Y69" s="2"/>
      <c r="Z69" s="6">
        <f t="shared" si="61"/>
        <v>0.9919</v>
      </c>
    </row>
    <row r="70" spans="1:26" s="24" customFormat="1" hidden="1" outlineLevel="2" x14ac:dyDescent="0.25">
      <c r="A70" s="29"/>
      <c r="B70" s="11" t="str">
        <f>CONCATENATE("          ", "6239", " - ", "KITCHEN SUPPLIES")</f>
        <v xml:space="preserve">          6239 - KITCHEN SUPPLIES</v>
      </c>
      <c r="C70" s="11"/>
      <c r="D70" s="7"/>
      <c r="E70" s="2"/>
      <c r="F70" s="6">
        <f t="shared" si="54"/>
        <v>0</v>
      </c>
      <c r="G70" s="2"/>
      <c r="H70" s="7"/>
      <c r="I70" s="2"/>
      <c r="J70" s="6">
        <f t="shared" si="55"/>
        <v>0</v>
      </c>
      <c r="K70" s="2"/>
      <c r="L70" s="7">
        <f t="shared" si="56"/>
        <v>0</v>
      </c>
      <c r="M70" s="2"/>
      <c r="N70" s="6">
        <f t="shared" si="57"/>
        <v>0</v>
      </c>
      <c r="O70" s="11"/>
      <c r="P70" s="7">
        <v>69.62</v>
      </c>
      <c r="Q70" s="2"/>
      <c r="R70" s="6">
        <f t="shared" si="58"/>
        <v>0</v>
      </c>
      <c r="S70" s="2"/>
      <c r="T70" s="7">
        <v>5000</v>
      </c>
      <c r="U70" s="2"/>
      <c r="V70" s="6">
        <f t="shared" si="59"/>
        <v>6.1449218365942387E-2</v>
      </c>
      <c r="W70" s="2"/>
      <c r="X70" s="7">
        <f t="shared" si="60"/>
        <v>-4930.38</v>
      </c>
      <c r="Y70" s="2"/>
      <c r="Z70" s="6">
        <f t="shared" si="61"/>
        <v>-0.98607600000000006</v>
      </c>
    </row>
    <row r="71" spans="1:26" s="24" customFormat="1" hidden="1" outlineLevel="2" x14ac:dyDescent="0.25">
      <c r="A71" s="29"/>
      <c r="B71" s="11" t="str">
        <f>CONCATENATE("          ", "6241", " - ", "OFFICE EXPENSE")</f>
        <v xml:space="preserve">          6241 - OFFICE EXPENSE</v>
      </c>
      <c r="C71" s="11"/>
      <c r="D71" s="7"/>
      <c r="E71" s="2"/>
      <c r="F71" s="6">
        <f t="shared" si="54"/>
        <v>0</v>
      </c>
      <c r="G71" s="2"/>
      <c r="H71" s="7"/>
      <c r="I71" s="2"/>
      <c r="J71" s="6">
        <f t="shared" si="55"/>
        <v>0</v>
      </c>
      <c r="K71" s="2"/>
      <c r="L71" s="7">
        <f t="shared" si="56"/>
        <v>0</v>
      </c>
      <c r="M71" s="2"/>
      <c r="N71" s="6">
        <f t="shared" si="57"/>
        <v>0</v>
      </c>
      <c r="O71" s="11"/>
      <c r="P71" s="7">
        <v>77.16</v>
      </c>
      <c r="Q71" s="2"/>
      <c r="R71" s="6">
        <f t="shared" si="58"/>
        <v>0</v>
      </c>
      <c r="S71" s="2"/>
      <c r="T71" s="7"/>
      <c r="U71" s="2"/>
      <c r="V71" s="6">
        <f t="shared" si="59"/>
        <v>0</v>
      </c>
      <c r="W71" s="2"/>
      <c r="X71" s="7">
        <f t="shared" si="60"/>
        <v>77.16</v>
      </c>
      <c r="Y71" s="2"/>
      <c r="Z71" s="6">
        <f t="shared" si="61"/>
        <v>0</v>
      </c>
    </row>
    <row r="72" spans="1:26" s="24" customFormat="1" hidden="1" outlineLevel="2" x14ac:dyDescent="0.25">
      <c r="A72" s="29"/>
      <c r="B72" s="11" t="str">
        <f>CONCATENATE("          ", "6243", " - ", "PAPER SUPPLIES")</f>
        <v xml:space="preserve">          6243 - PAPER SUPPLIES</v>
      </c>
      <c r="C72" s="11"/>
      <c r="D72" s="7"/>
      <c r="E72" s="2"/>
      <c r="F72" s="6">
        <f t="shared" si="54"/>
        <v>0</v>
      </c>
      <c r="G72" s="2"/>
      <c r="H72" s="7">
        <v>200</v>
      </c>
      <c r="I72" s="2"/>
      <c r="J72" s="6">
        <f t="shared" si="55"/>
        <v>3.6303570456154362E-3</v>
      </c>
      <c r="K72" s="2"/>
      <c r="L72" s="7">
        <f t="shared" si="56"/>
        <v>-200</v>
      </c>
      <c r="M72" s="2"/>
      <c r="N72" s="6">
        <f t="shared" si="57"/>
        <v>-1</v>
      </c>
      <c r="O72" s="11"/>
      <c r="P72" s="7"/>
      <c r="Q72" s="2"/>
      <c r="R72" s="6">
        <f t="shared" si="58"/>
        <v>0</v>
      </c>
      <c r="S72" s="2"/>
      <c r="T72" s="7">
        <v>650</v>
      </c>
      <c r="U72" s="2"/>
      <c r="V72" s="6">
        <f t="shared" si="59"/>
        <v>7.9883983875725095E-3</v>
      </c>
      <c r="W72" s="2"/>
      <c r="X72" s="7">
        <f t="shared" si="60"/>
        <v>-650</v>
      </c>
      <c r="Y72" s="2"/>
      <c r="Z72" s="6">
        <f t="shared" si="61"/>
        <v>-1</v>
      </c>
    </row>
    <row r="73" spans="1:26" s="24" customFormat="1" hidden="1" outlineLevel="2" x14ac:dyDescent="0.25">
      <c r="A73" s="29"/>
      <c r="B73" s="11" t="str">
        <f>CONCATENATE("          ", "6244", " - ", "SAFETY SUPPLY EXPENSE")</f>
        <v xml:space="preserve">          6244 - SAFETY SUPPLY EXPENSE</v>
      </c>
      <c r="C73" s="11"/>
      <c r="D73" s="7"/>
      <c r="E73" s="2"/>
      <c r="F73" s="6">
        <f t="shared" si="54"/>
        <v>0</v>
      </c>
      <c r="G73" s="2"/>
      <c r="H73" s="7"/>
      <c r="I73" s="2"/>
      <c r="J73" s="6">
        <f t="shared" si="55"/>
        <v>0</v>
      </c>
      <c r="K73" s="2"/>
      <c r="L73" s="7">
        <f t="shared" si="56"/>
        <v>0</v>
      </c>
      <c r="M73" s="2"/>
      <c r="N73" s="6">
        <f t="shared" si="57"/>
        <v>0</v>
      </c>
      <c r="O73" s="11"/>
      <c r="P73" s="7"/>
      <c r="Q73" s="2"/>
      <c r="R73" s="6">
        <f t="shared" si="58"/>
        <v>0</v>
      </c>
      <c r="S73" s="2"/>
      <c r="T73" s="7">
        <v>50</v>
      </c>
      <c r="U73" s="2"/>
      <c r="V73" s="6">
        <f t="shared" si="59"/>
        <v>6.1449218365942383E-4</v>
      </c>
      <c r="W73" s="2"/>
      <c r="X73" s="7">
        <f t="shared" si="60"/>
        <v>-50</v>
      </c>
      <c r="Y73" s="2"/>
      <c r="Z73" s="6">
        <f t="shared" si="61"/>
        <v>-1</v>
      </c>
    </row>
    <row r="74" spans="1:26" s="24" customFormat="1" hidden="1" outlineLevel="2" x14ac:dyDescent="0.25">
      <c r="A74" s="29"/>
      <c r="B74" s="11" t="str">
        <f>CONCATENATE("          ", "6245", " - ", "PRINTING")</f>
        <v xml:space="preserve">          6245 - PRINTING</v>
      </c>
      <c r="C74" s="11"/>
      <c r="D74" s="7"/>
      <c r="E74" s="2"/>
      <c r="F74" s="6">
        <f t="shared" si="54"/>
        <v>0</v>
      </c>
      <c r="G74" s="2"/>
      <c r="H74" s="7">
        <v>50</v>
      </c>
      <c r="I74" s="2"/>
      <c r="J74" s="6">
        <f t="shared" si="55"/>
        <v>9.0758926140385905E-4</v>
      </c>
      <c r="K74" s="2"/>
      <c r="L74" s="7">
        <f t="shared" si="56"/>
        <v>-50</v>
      </c>
      <c r="M74" s="2"/>
      <c r="N74" s="6">
        <f t="shared" si="57"/>
        <v>-1</v>
      </c>
      <c r="O74" s="11"/>
      <c r="P74" s="7"/>
      <c r="Q74" s="2"/>
      <c r="R74" s="6">
        <f t="shared" si="58"/>
        <v>0</v>
      </c>
      <c r="S74" s="2"/>
      <c r="T74" s="7">
        <v>350</v>
      </c>
      <c r="U74" s="2"/>
      <c r="V74" s="6">
        <f t="shared" si="59"/>
        <v>4.3014452856159667E-3</v>
      </c>
      <c r="W74" s="2"/>
      <c r="X74" s="7">
        <f t="shared" si="60"/>
        <v>-350</v>
      </c>
      <c r="Y74" s="2"/>
      <c r="Z74" s="6">
        <f t="shared" si="61"/>
        <v>-1</v>
      </c>
    </row>
    <row r="75" spans="1:26" s="24" customFormat="1" hidden="1" outlineLevel="2" x14ac:dyDescent="0.25">
      <c r="A75" s="29"/>
      <c r="B75" s="11" t="str">
        <f>CONCATENATE("          ", "6248", " - ", "UNIFORMS")</f>
        <v xml:space="preserve">          6248 - UNIFORMS</v>
      </c>
      <c r="C75" s="11"/>
      <c r="D75" s="7"/>
      <c r="E75" s="2"/>
      <c r="F75" s="6">
        <f t="shared" si="54"/>
        <v>0</v>
      </c>
      <c r="G75" s="2"/>
      <c r="H75" s="7"/>
      <c r="I75" s="2"/>
      <c r="J75" s="6">
        <f t="shared" si="55"/>
        <v>0</v>
      </c>
      <c r="K75" s="2"/>
      <c r="L75" s="7">
        <f t="shared" si="56"/>
        <v>0</v>
      </c>
      <c r="M75" s="2"/>
      <c r="N75" s="6">
        <f t="shared" si="57"/>
        <v>0</v>
      </c>
      <c r="O75" s="11"/>
      <c r="P75" s="7"/>
      <c r="Q75" s="2"/>
      <c r="R75" s="6">
        <f t="shared" si="58"/>
        <v>0</v>
      </c>
      <c r="S75" s="2"/>
      <c r="T75" s="7">
        <v>800</v>
      </c>
      <c r="U75" s="2"/>
      <c r="V75" s="6">
        <f t="shared" si="59"/>
        <v>9.8318749385507814E-3</v>
      </c>
      <c r="W75" s="2"/>
      <c r="X75" s="7">
        <f t="shared" si="60"/>
        <v>-800</v>
      </c>
      <c r="Y75" s="2"/>
      <c r="Z75" s="6">
        <f t="shared" si="61"/>
        <v>-1</v>
      </c>
    </row>
    <row r="76" spans="1:26" s="28" customFormat="1" outlineLevel="1" collapsed="1" x14ac:dyDescent="0.25">
      <c r="A76" s="27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SUM(OSRRefD22_12x_0)</f>
        <v>0</v>
      </c>
      <c r="E76" s="1"/>
      <c r="F76" s="5">
        <f t="shared" ref="F76:F78" si="62">IF(D$12=0,0,D76/D$12)</f>
        <v>0</v>
      </c>
      <c r="G76" s="1"/>
      <c r="H76" s="1">
        <f>SUM(OSRRefH22_12x_0)</f>
        <v>75</v>
      </c>
      <c r="I76" s="1"/>
      <c r="J76" s="5">
        <f t="shared" ref="J76:J78" si="63">IF(H$12=0,0,H76/H$12)</f>
        <v>1.3613838921057886E-3</v>
      </c>
      <c r="K76" s="1"/>
      <c r="L76" s="1">
        <f t="shared" ref="L76:L78" si="64">+D76-H76</f>
        <v>-75</v>
      </c>
      <c r="M76" s="1"/>
      <c r="N76" s="5">
        <f t="shared" ref="N76:N78" si="65">IF(H76=0,0,L76/H76)</f>
        <v>-1</v>
      </c>
      <c r="O76" s="14"/>
      <c r="P76" s="1">
        <f>SUM(OSRRefP22_12x_0)</f>
        <v>75</v>
      </c>
      <c r="Q76" s="1"/>
      <c r="R76" s="5">
        <f t="shared" ref="R76:R78" si="66">IF(P$12=0,0,P76/P$12)</f>
        <v>0</v>
      </c>
      <c r="S76" s="1"/>
      <c r="T76" s="1">
        <f>SUM(OSRRefT22_12x_0)</f>
        <v>375</v>
      </c>
      <c r="U76" s="1"/>
      <c r="V76" s="5">
        <f t="shared" ref="V76:V78" si="67">IF(T$12=0,0,T76/T$12)</f>
        <v>4.6086913774456787E-3</v>
      </c>
      <c r="W76" s="1"/>
      <c r="X76" s="1">
        <f t="shared" ref="X76:X78" si="68">+P76-T76</f>
        <v>-300</v>
      </c>
      <c r="Y76" s="1"/>
      <c r="Z76" s="5">
        <f t="shared" ref="Z76:Z78" si="69">IF(T76=0,0,X76/T76)</f>
        <v>-0.8</v>
      </c>
    </row>
    <row r="77" spans="1:26" s="24" customFormat="1" hidden="1" outlineLevel="2" x14ac:dyDescent="0.25">
      <c r="A77" s="29"/>
      <c r="B77" s="11" t="str">
        <f>CONCATENATE("          ", "6303", " - ", "DATA PHONE LINES")</f>
        <v xml:space="preserve">          6303 - DATA PHONE LINES</v>
      </c>
      <c r="C77" s="11"/>
      <c r="D77" s="7"/>
      <c r="E77" s="2"/>
      <c r="F77" s="6">
        <f t="shared" si="62"/>
        <v>0</v>
      </c>
      <c r="G77" s="2"/>
      <c r="H77" s="7">
        <v>75</v>
      </c>
      <c r="I77" s="2"/>
      <c r="J77" s="6">
        <f t="shared" si="63"/>
        <v>1.3613838921057886E-3</v>
      </c>
      <c r="K77" s="2"/>
      <c r="L77" s="7">
        <f t="shared" si="64"/>
        <v>-75</v>
      </c>
      <c r="M77" s="2"/>
      <c r="N77" s="6">
        <f t="shared" si="65"/>
        <v>-1</v>
      </c>
      <c r="O77" s="11"/>
      <c r="P77" s="7"/>
      <c r="Q77" s="2"/>
      <c r="R77" s="6">
        <f t="shared" si="66"/>
        <v>0</v>
      </c>
      <c r="S77" s="2"/>
      <c r="T77" s="7">
        <v>225</v>
      </c>
      <c r="U77" s="2"/>
      <c r="V77" s="6">
        <f t="shared" si="67"/>
        <v>2.7652148264674073E-3</v>
      </c>
      <c r="W77" s="2"/>
      <c r="X77" s="7">
        <f t="shared" si="68"/>
        <v>-225</v>
      </c>
      <c r="Y77" s="2"/>
      <c r="Z77" s="6">
        <f t="shared" si="69"/>
        <v>-1</v>
      </c>
    </row>
    <row r="78" spans="1:26" s="24" customFormat="1" hidden="1" outlineLevel="2" x14ac:dyDescent="0.25">
      <c r="A78" s="29"/>
      <c r="B78" s="11" t="str">
        <f>CONCATENATE("          ", "6309", " - ", "TELEPHONE")</f>
        <v xml:space="preserve">          6309 - TELEPHONE</v>
      </c>
      <c r="C78" s="11"/>
      <c r="D78" s="7">
        <v>0</v>
      </c>
      <c r="E78" s="2"/>
      <c r="F78" s="6">
        <f t="shared" si="62"/>
        <v>0</v>
      </c>
      <c r="G78" s="2"/>
      <c r="H78" s="7"/>
      <c r="I78" s="2"/>
      <c r="J78" s="6">
        <f t="shared" si="63"/>
        <v>0</v>
      </c>
      <c r="K78" s="2"/>
      <c r="L78" s="7">
        <f t="shared" si="64"/>
        <v>0</v>
      </c>
      <c r="M78" s="2"/>
      <c r="N78" s="6">
        <f t="shared" si="65"/>
        <v>0</v>
      </c>
      <c r="O78" s="11"/>
      <c r="P78" s="7">
        <v>75</v>
      </c>
      <c r="Q78" s="2"/>
      <c r="R78" s="6">
        <f t="shared" si="66"/>
        <v>0</v>
      </c>
      <c r="S78" s="2"/>
      <c r="T78" s="7">
        <v>150</v>
      </c>
      <c r="U78" s="2"/>
      <c r="V78" s="6">
        <f t="shared" si="67"/>
        <v>1.8434765509782716E-3</v>
      </c>
      <c r="W78" s="2"/>
      <c r="X78" s="7">
        <f t="shared" si="68"/>
        <v>-75</v>
      </c>
      <c r="Y78" s="2"/>
      <c r="Z78" s="6">
        <f t="shared" si="69"/>
        <v>-0.5</v>
      </c>
    </row>
    <row r="79" spans="1:26" s="28" customFormat="1" outlineLevel="1" collapsed="1" x14ac:dyDescent="0.25">
      <c r="A79" s="27"/>
      <c r="B79" s="14" t="str">
        <f>CONCATENATE("     ","Training                                          ")</f>
        <v xml:space="preserve">     Training                                          </v>
      </c>
      <c r="C79" s="14"/>
      <c r="D79" s="1">
        <f>SUM(OSRRefD22_13x_0)</f>
        <v>0</v>
      </c>
      <c r="E79" s="1"/>
      <c r="F79" s="5">
        <f t="shared" ref="F79:F82" si="70">IF(D$12=0,0,D79/D$12)</f>
        <v>0</v>
      </c>
      <c r="G79" s="1"/>
      <c r="H79" s="1">
        <f>SUM(OSRRefH22_13x_0)</f>
        <v>0</v>
      </c>
      <c r="I79" s="1"/>
      <c r="J79" s="5">
        <f t="shared" ref="J79:J82" si="71">IF(H$12=0,0,H79/H$12)</f>
        <v>0</v>
      </c>
      <c r="K79" s="1"/>
      <c r="L79" s="1">
        <f t="shared" ref="L79:L82" si="72">+D79-H79</f>
        <v>0</v>
      </c>
      <c r="M79" s="1"/>
      <c r="N79" s="5">
        <f t="shared" ref="N79:N82" si="73">IF(H79=0,0,L79/H79)</f>
        <v>0</v>
      </c>
      <c r="O79" s="14"/>
      <c r="P79" s="1">
        <f>SUM(OSRRefP22_13x_0)</f>
        <v>0</v>
      </c>
      <c r="Q79" s="1"/>
      <c r="R79" s="5">
        <f t="shared" ref="R79:R82" si="74">IF(P$12=0,0,P79/P$12)</f>
        <v>0</v>
      </c>
      <c r="S79" s="1"/>
      <c r="T79" s="1">
        <f>SUM(OSRRefT22_13x_0)</f>
        <v>200</v>
      </c>
      <c r="U79" s="1"/>
      <c r="V79" s="5">
        <f t="shared" ref="V79:V82" si="75">IF(T$12=0,0,T79/T$12)</f>
        <v>2.4579687346376953E-3</v>
      </c>
      <c r="W79" s="1"/>
      <c r="X79" s="1">
        <f t="shared" ref="X79:X82" si="76">+P79-T79</f>
        <v>-200</v>
      </c>
      <c r="Y79" s="1"/>
      <c r="Z79" s="5">
        <f t="shared" ref="Z79:Z82" si="77">IF(T79=0,0,X79/T79)</f>
        <v>-1</v>
      </c>
    </row>
    <row r="80" spans="1:26" s="24" customFormat="1" hidden="1" outlineLevel="2" x14ac:dyDescent="0.25">
      <c r="A80" s="29"/>
      <c r="B80" s="11" t="str">
        <f>CONCATENATE("          ", "6376", " - ", "TRAINING")</f>
        <v xml:space="preserve">          6376 - TRAINING</v>
      </c>
      <c r="C80" s="11"/>
      <c r="D80" s="7"/>
      <c r="E80" s="2"/>
      <c r="F80" s="6">
        <f t="shared" si="70"/>
        <v>0</v>
      </c>
      <c r="G80" s="2"/>
      <c r="H80" s="7"/>
      <c r="I80" s="2"/>
      <c r="J80" s="6">
        <f t="shared" si="71"/>
        <v>0</v>
      </c>
      <c r="K80" s="2"/>
      <c r="L80" s="7">
        <f t="shared" si="72"/>
        <v>0</v>
      </c>
      <c r="M80" s="2"/>
      <c r="N80" s="6">
        <f t="shared" si="73"/>
        <v>0</v>
      </c>
      <c r="O80" s="11"/>
      <c r="P80" s="7"/>
      <c r="Q80" s="2"/>
      <c r="R80" s="6">
        <f t="shared" si="74"/>
        <v>0</v>
      </c>
      <c r="S80" s="2"/>
      <c r="T80" s="7">
        <v>200</v>
      </c>
      <c r="U80" s="2"/>
      <c r="V80" s="6">
        <f t="shared" si="75"/>
        <v>2.4579687346376953E-3</v>
      </c>
      <c r="W80" s="2"/>
      <c r="X80" s="7">
        <f t="shared" si="76"/>
        <v>-200</v>
      </c>
      <c r="Y80" s="2"/>
      <c r="Z80" s="6">
        <f t="shared" si="77"/>
        <v>-1</v>
      </c>
    </row>
    <row r="81" spans="1:26" s="28" customFormat="1" outlineLevel="1" collapsed="1" x14ac:dyDescent="0.25">
      <c r="A81" s="27"/>
      <c r="B81" s="14" t="str">
        <f>CONCATENATE("     ","Utilities                                         ")</f>
        <v xml:space="preserve">     Utilities                                         </v>
      </c>
      <c r="C81" s="14"/>
      <c r="D81" s="1">
        <f>SUM(OSRRefD22_14x_0)</f>
        <v>0</v>
      </c>
      <c r="E81" s="1"/>
      <c r="F81" s="5">
        <f t="shared" si="70"/>
        <v>0</v>
      </c>
      <c r="G81" s="1"/>
      <c r="H81" s="1">
        <f>SUM(OSRRefH22_14x_0)</f>
        <v>500</v>
      </c>
      <c r="I81" s="1"/>
      <c r="J81" s="5">
        <f t="shared" si="71"/>
        <v>9.0758926140385911E-3</v>
      </c>
      <c r="K81" s="1"/>
      <c r="L81" s="1">
        <f t="shared" si="72"/>
        <v>-500</v>
      </c>
      <c r="M81" s="1"/>
      <c r="N81" s="5">
        <f t="shared" si="73"/>
        <v>-1</v>
      </c>
      <c r="O81" s="14"/>
      <c r="P81" s="1">
        <f>SUM(OSRRefP22_14x_0)</f>
        <v>0</v>
      </c>
      <c r="Q81" s="1"/>
      <c r="R81" s="5">
        <f t="shared" si="74"/>
        <v>0</v>
      </c>
      <c r="S81" s="1"/>
      <c r="T81" s="1">
        <f>SUM(OSRRefT22_14x_0)</f>
        <v>1500</v>
      </c>
      <c r="U81" s="1"/>
      <c r="V81" s="5">
        <f t="shared" si="75"/>
        <v>1.8434765509782715E-2</v>
      </c>
      <c r="W81" s="1"/>
      <c r="X81" s="1">
        <f t="shared" si="76"/>
        <v>-1500</v>
      </c>
      <c r="Y81" s="1"/>
      <c r="Z81" s="5">
        <f t="shared" si="77"/>
        <v>-1</v>
      </c>
    </row>
    <row r="82" spans="1:26" s="24" customFormat="1" hidden="1" outlineLevel="2" x14ac:dyDescent="0.25">
      <c r="A82" s="29"/>
      <c r="B82" s="11" t="str">
        <f>CONCATENATE("          ", "6274", " - ", "UTILITIES")</f>
        <v xml:space="preserve">          6274 - UTILITIES</v>
      </c>
      <c r="C82" s="11"/>
      <c r="D82" s="7"/>
      <c r="E82" s="2"/>
      <c r="F82" s="6">
        <f t="shared" si="70"/>
        <v>0</v>
      </c>
      <c r="G82" s="2"/>
      <c r="H82" s="7">
        <v>500</v>
      </c>
      <c r="I82" s="2"/>
      <c r="J82" s="6">
        <f t="shared" si="71"/>
        <v>9.0758926140385911E-3</v>
      </c>
      <c r="K82" s="2"/>
      <c r="L82" s="7">
        <f t="shared" si="72"/>
        <v>-500</v>
      </c>
      <c r="M82" s="2"/>
      <c r="N82" s="6">
        <f t="shared" si="73"/>
        <v>-1</v>
      </c>
      <c r="O82" s="11"/>
      <c r="P82" s="7"/>
      <c r="Q82" s="2"/>
      <c r="R82" s="6">
        <f t="shared" si="74"/>
        <v>0</v>
      </c>
      <c r="S82" s="2"/>
      <c r="T82" s="7">
        <v>1500</v>
      </c>
      <c r="U82" s="2"/>
      <c r="V82" s="6">
        <f t="shared" si="75"/>
        <v>1.8434765509782715E-2</v>
      </c>
      <c r="W82" s="2"/>
      <c r="X82" s="7">
        <f t="shared" si="76"/>
        <v>-1500</v>
      </c>
      <c r="Y82" s="2"/>
      <c r="Z82" s="6">
        <f t="shared" si="77"/>
        <v>-1</v>
      </c>
    </row>
    <row r="83" spans="1:26" s="58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6" t="s">
        <v>293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5" t="s">
        <v>277</v>
      </c>
      <c r="C86" s="25"/>
      <c r="D86" s="21">
        <f>+D20-D22+D84</f>
        <v>-14035.58</v>
      </c>
      <c r="E86" s="13"/>
      <c r="F86" s="20">
        <f>IF(D$12=0,0,D86/D$12)</f>
        <v>0</v>
      </c>
      <c r="G86" s="13"/>
      <c r="H86" s="21">
        <f>+H20-H22+H84</f>
        <v>-801.2894630769224</v>
      </c>
      <c r="I86" s="13"/>
      <c r="J86" s="20">
        <f>IF(H$12=0,0,H86/H$12)</f>
        <v>-1.4544834239293576E-2</v>
      </c>
      <c r="K86" s="16"/>
      <c r="L86" s="21">
        <f>+D86-H86</f>
        <v>-13234.290536923078</v>
      </c>
      <c r="M86" s="16"/>
      <c r="N86" s="20">
        <f>IF(H86=0,0,L86/H86)</f>
        <v>16.516241816164513</v>
      </c>
      <c r="O86" s="26"/>
      <c r="P86" s="21">
        <f>+P20-P22+P84</f>
        <v>-60527.590000000018</v>
      </c>
      <c r="Q86" s="13"/>
      <c r="R86" s="20">
        <f>IF(P$12=0,0,P86/P$12)</f>
        <v>0</v>
      </c>
      <c r="S86" s="13"/>
      <c r="T86" s="21">
        <f>+T20-T22+T84</f>
        <v>-63726.409589230796</v>
      </c>
      <c r="U86" s="13"/>
      <c r="V86" s="20">
        <f>IF(T$12=0,0,T86/T$12)</f>
        <v>-0.78318761170522555</v>
      </c>
      <c r="W86" s="16"/>
      <c r="X86" s="21">
        <f>+P86-T86</f>
        <v>3198.8195892307776</v>
      </c>
      <c r="Y86" s="16"/>
      <c r="Z86" s="20">
        <f>IF(T86=0,0,X86/T86)</f>
        <v>-5.0196137046631138E-2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128</v>
      </c>
      <c r="C88" s="10"/>
      <c r="D88" s="4"/>
      <c r="E88" s="4"/>
      <c r="F88" s="12">
        <f>IF(D$12=0,0,D88/D$12)</f>
        <v>0</v>
      </c>
      <c r="G88" s="4"/>
      <c r="H88" s="4">
        <v>5892</v>
      </c>
      <c r="I88" s="4"/>
      <c r="J88" s="12">
        <f>IF(H$12=0,0,H88/H$12)</f>
        <v>0.10695031856383075</v>
      </c>
      <c r="K88" s="4"/>
      <c r="L88" s="4">
        <f>+D88-H88</f>
        <v>-5892</v>
      </c>
      <c r="M88" s="4"/>
      <c r="N88" s="12">
        <f>IF(H88=0,0,L88/H88)</f>
        <v>-1</v>
      </c>
      <c r="O88" s="10"/>
      <c r="P88" s="4"/>
      <c r="Q88" s="4"/>
      <c r="R88" s="12">
        <f>IF(P$12=0,0,P88/P$12)</f>
        <v>0</v>
      </c>
      <c r="S88" s="4"/>
      <c r="T88" s="4">
        <v>8835</v>
      </c>
      <c r="U88" s="4"/>
      <c r="V88" s="12">
        <f>IF(T$12=0,0,T88/T$12)</f>
        <v>0.10858076885262019</v>
      </c>
      <c r="W88" s="4"/>
      <c r="X88" s="4">
        <f>+P88-T88</f>
        <v>-8835</v>
      </c>
      <c r="Y88" s="4"/>
      <c r="Z88" s="12">
        <f>IF(T88=0,0,X88/T88)</f>
        <v>-1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5" t="s">
        <v>126</v>
      </c>
      <c r="C90" s="25"/>
      <c r="D90" s="33">
        <f>+D86-D88</f>
        <v>-14035.58</v>
      </c>
      <c r="E90" s="13"/>
      <c r="F90" s="31">
        <f>IF(D$12=0,0,D90/D$12)</f>
        <v>0</v>
      </c>
      <c r="G90" s="13"/>
      <c r="H90" s="33">
        <f>+H86-H88</f>
        <v>-6693.2894630769224</v>
      </c>
      <c r="I90" s="13"/>
      <c r="J90" s="31">
        <f>IF(H$12=0,0,H90/H$12)</f>
        <v>-0.12149515280312433</v>
      </c>
      <c r="K90" s="16"/>
      <c r="L90" s="33">
        <f>D90-H90</f>
        <v>-7342.2905369230775</v>
      </c>
      <c r="M90" s="16"/>
      <c r="N90" s="31">
        <f>IF(H90=0,0,L90/H90)</f>
        <v>1.0969629473559042</v>
      </c>
      <c r="O90" s="26"/>
      <c r="P90" s="33">
        <f>+P86-P88</f>
        <v>-60527.590000000018</v>
      </c>
      <c r="Q90" s="13"/>
      <c r="R90" s="31">
        <f>IF(P$12=0,0,P90/P$12)</f>
        <v>0</v>
      </c>
      <c r="S90" s="13"/>
      <c r="T90" s="33">
        <f>+T86-T88</f>
        <v>-72561.409589230796</v>
      </c>
      <c r="U90" s="13"/>
      <c r="V90" s="31">
        <f>IF(T$12=0,0,T90/T$12)</f>
        <v>-0.8917683805578458</v>
      </c>
      <c r="W90" s="16"/>
      <c r="X90" s="33">
        <f>P90-T90</f>
        <v>12033.819589230778</v>
      </c>
      <c r="Y90" s="16"/>
      <c r="Z90" s="31">
        <f>IF(T90=0,0,X90/T90)</f>
        <v>-0.16584324446498594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5" t="s">
        <v>294</v>
      </c>
      <c r="C93" s="25"/>
      <c r="D93" s="35">
        <f>SUM(D90:D92)</f>
        <v>-14035.58</v>
      </c>
      <c r="E93" s="13"/>
      <c r="F93" s="34">
        <f>IF(D$12=0,0,D93/D$12)</f>
        <v>0</v>
      </c>
      <c r="G93" s="13"/>
      <c r="H93" s="35">
        <f>SUM(H90:H92)</f>
        <v>-6693.2894630769224</v>
      </c>
      <c r="I93" s="13"/>
      <c r="J93" s="34">
        <f>IF(H$12=0,0,H93/H$12)</f>
        <v>-0.12149515280312433</v>
      </c>
      <c r="K93" s="16"/>
      <c r="L93" s="35">
        <f>+D93-H93</f>
        <v>-7342.2905369230775</v>
      </c>
      <c r="M93" s="16"/>
      <c r="N93" s="34">
        <f>IF(H93=0,0,L93/H93)</f>
        <v>1.0969629473559042</v>
      </c>
      <c r="O93" s="26"/>
      <c r="P93" s="35">
        <f>SUM(P90:P92)</f>
        <v>-60527.590000000018</v>
      </c>
      <c r="Q93" s="13"/>
      <c r="R93" s="34">
        <f>IF(P$12=0,0,P93/P$12)</f>
        <v>0</v>
      </c>
      <c r="S93" s="13"/>
      <c r="T93" s="35">
        <f>SUM(T90:T92)</f>
        <v>-72561.409589230796</v>
      </c>
      <c r="U93" s="13"/>
      <c r="V93" s="34">
        <f>IF(T$12=0,0,T93/T$12)</f>
        <v>-0.8917683805578458</v>
      </c>
      <c r="W93" s="16"/>
      <c r="X93" s="35">
        <f>+P93-T93</f>
        <v>12033.819589230778</v>
      </c>
      <c r="Y93" s="16"/>
      <c r="Z93" s="34">
        <f>IF(T93=0,0,X93/T93)</f>
        <v>-0.16584324446498594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61">
        <v>44481.978956793981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6" t="s">
        <v>56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4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92D050"/>
    <outlinePr summaryBelow="0" summaryRight="0"/>
  </sheetPr>
  <dimension ref="A2:Z6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","423", " - ", "Contract/Vending Revenue")</f>
        <v>Department 423 - Contract/Vending Revenue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108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295</v>
      </c>
      <c r="C18" s="10"/>
      <c r="D18" s="22">
        <f>SUM(OSRRefD22x_0)</f>
        <v>68.5</v>
      </c>
      <c r="E18" s="22"/>
      <c r="F18" s="32">
        <f t="shared" ref="F18:F27" si="0">IF(D$12=0,0,D18/D$12)</f>
        <v>0</v>
      </c>
      <c r="G18" s="22"/>
      <c r="H18" s="22">
        <f>SUM(OSRRefH22x_0)</f>
        <v>0</v>
      </c>
      <c r="I18" s="22"/>
      <c r="J18" s="32">
        <f t="shared" ref="J18:J27" si="1">IF(H$12=0,0,H18/H$12)</f>
        <v>0</v>
      </c>
      <c r="K18" s="4"/>
      <c r="L18" s="22">
        <f t="shared" ref="L18:L27" si="2">+D18-H18</f>
        <v>68.5</v>
      </c>
      <c r="M18" s="4"/>
      <c r="N18" s="32">
        <f t="shared" ref="N18:N27" si="3">IF(H18=0,0,L18/H18)</f>
        <v>0</v>
      </c>
      <c r="O18" s="10"/>
      <c r="P18" s="22">
        <f>SUM(OSRRefP22x_0)</f>
        <v>7961.51</v>
      </c>
      <c r="Q18" s="22"/>
      <c r="R18" s="32">
        <f t="shared" ref="R18:R27" si="4">IF(P$12=0,0,P18/P$12)</f>
        <v>0</v>
      </c>
      <c r="S18" s="22"/>
      <c r="T18" s="22">
        <f>SUM(OSRRefT22x_0)</f>
        <v>0</v>
      </c>
      <c r="U18" s="22"/>
      <c r="V18" s="32">
        <f t="shared" ref="V18:V27" si="5">IF(T$12=0,0,T18/T$12)</f>
        <v>0</v>
      </c>
      <c r="W18" s="4"/>
      <c r="X18" s="22">
        <f t="shared" ref="X18:X27" si="6">+P18-T18</f>
        <v>7961.51</v>
      </c>
      <c r="Y18" s="4"/>
      <c r="Z18" s="32">
        <f t="shared" ref="Z18:Z27" si="7">IF(T18=0,0,X18/T18)</f>
        <v>0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0</v>
      </c>
      <c r="Y19" s="1"/>
      <c r="Z19" s="5">
        <f t="shared" si="7"/>
        <v>0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/>
      <c r="E20" s="2"/>
      <c r="F20" s="6">
        <f t="shared" si="0"/>
        <v>0</v>
      </c>
      <c r="G20" s="2"/>
      <c r="H20" s="7">
        <v>0</v>
      </c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/>
      <c r="Q20" s="2"/>
      <c r="R20" s="6">
        <f t="shared" si="4"/>
        <v>0</v>
      </c>
      <c r="S20" s="2"/>
      <c r="T20" s="7">
        <v>0</v>
      </c>
      <c r="U20" s="2"/>
      <c r="V20" s="6">
        <f t="shared" si="5"/>
        <v>0</v>
      </c>
      <c r="W20" s="2"/>
      <c r="X20" s="7">
        <f t="shared" si="6"/>
        <v>0</v>
      </c>
      <c r="Y20" s="2"/>
      <c r="Z20" s="6">
        <f t="shared" si="7"/>
        <v>0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/>
      <c r="E21" s="2"/>
      <c r="F21" s="6">
        <f t="shared" si="0"/>
        <v>0</v>
      </c>
      <c r="G21" s="2"/>
      <c r="H21" s="7">
        <v>0</v>
      </c>
      <c r="I21" s="2"/>
      <c r="J21" s="6">
        <f t="shared" si="1"/>
        <v>0</v>
      </c>
      <c r="K21" s="2"/>
      <c r="L21" s="7">
        <f t="shared" si="2"/>
        <v>0</v>
      </c>
      <c r="M21" s="2"/>
      <c r="N21" s="6">
        <f t="shared" si="3"/>
        <v>0</v>
      </c>
      <c r="O21" s="11"/>
      <c r="P21" s="7"/>
      <c r="Q21" s="2"/>
      <c r="R21" s="6">
        <f t="shared" si="4"/>
        <v>0</v>
      </c>
      <c r="S21" s="2"/>
      <c r="T21" s="7">
        <v>0</v>
      </c>
      <c r="U21" s="2"/>
      <c r="V21" s="6">
        <f t="shared" si="5"/>
        <v>0</v>
      </c>
      <c r="W21" s="2"/>
      <c r="X21" s="7">
        <f t="shared" si="6"/>
        <v>0</v>
      </c>
      <c r="Y21" s="2"/>
      <c r="Z21" s="6">
        <f t="shared" si="7"/>
        <v>0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/>
      <c r="E22" s="2"/>
      <c r="F22" s="6">
        <f t="shared" si="0"/>
        <v>0</v>
      </c>
      <c r="G22" s="2"/>
      <c r="H22" s="7">
        <v>0</v>
      </c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/>
      <c r="Q22" s="2"/>
      <c r="R22" s="6">
        <f t="shared" si="4"/>
        <v>0</v>
      </c>
      <c r="S22" s="2"/>
      <c r="T22" s="7">
        <v>0</v>
      </c>
      <c r="U22" s="2"/>
      <c r="V22" s="6">
        <f t="shared" si="5"/>
        <v>0</v>
      </c>
      <c r="W22" s="2"/>
      <c r="X22" s="7">
        <f t="shared" si="6"/>
        <v>0</v>
      </c>
      <c r="Y22" s="2"/>
      <c r="Z22" s="6">
        <f t="shared" si="7"/>
        <v>0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0</v>
      </c>
      <c r="I23" s="2"/>
      <c r="J23" s="6">
        <f t="shared" si="1"/>
        <v>0</v>
      </c>
      <c r="K23" s="2"/>
      <c r="L23" s="7">
        <f t="shared" si="2"/>
        <v>0</v>
      </c>
      <c r="M23" s="2"/>
      <c r="N23" s="6">
        <f t="shared" si="3"/>
        <v>0</v>
      </c>
      <c r="O23" s="11"/>
      <c r="P23" s="7"/>
      <c r="Q23" s="2"/>
      <c r="R23" s="6">
        <f t="shared" si="4"/>
        <v>0</v>
      </c>
      <c r="S23" s="2"/>
      <c r="T23" s="7">
        <v>0</v>
      </c>
      <c r="U23" s="2"/>
      <c r="V23" s="6">
        <f t="shared" si="5"/>
        <v>0</v>
      </c>
      <c r="W23" s="2"/>
      <c r="X23" s="7">
        <f t="shared" si="6"/>
        <v>0</v>
      </c>
      <c r="Y23" s="2"/>
      <c r="Z23" s="6">
        <f t="shared" si="7"/>
        <v>0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/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0</v>
      </c>
      <c r="Y24" s="2"/>
      <c r="Z24" s="6">
        <f t="shared" si="7"/>
        <v>0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/>
      <c r="E26" s="2"/>
      <c r="F26" s="6">
        <f t="shared" si="0"/>
        <v>0</v>
      </c>
      <c r="G26" s="2"/>
      <c r="H26" s="7">
        <v>0</v>
      </c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/>
      <c r="Q26" s="2"/>
      <c r="R26" s="6">
        <f t="shared" si="4"/>
        <v>0</v>
      </c>
      <c r="S26" s="2"/>
      <c r="T26" s="7">
        <v>0</v>
      </c>
      <c r="U26" s="2"/>
      <c r="V26" s="6">
        <f t="shared" si="5"/>
        <v>0</v>
      </c>
      <c r="W26" s="2"/>
      <c r="X26" s="7">
        <f t="shared" si="6"/>
        <v>0</v>
      </c>
      <c r="Y26" s="2"/>
      <c r="Z26" s="6">
        <f t="shared" si="7"/>
        <v>0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/>
      <c r="E27" s="2"/>
      <c r="F27" s="6">
        <f t="shared" si="0"/>
        <v>0</v>
      </c>
      <c r="G27" s="2"/>
      <c r="H27" s="7">
        <v>0</v>
      </c>
      <c r="I27" s="2"/>
      <c r="J27" s="6">
        <f t="shared" si="1"/>
        <v>0</v>
      </c>
      <c r="K27" s="2"/>
      <c r="L27" s="7">
        <f t="shared" si="2"/>
        <v>0</v>
      </c>
      <c r="M27" s="2"/>
      <c r="N27" s="6">
        <f t="shared" si="3"/>
        <v>0</v>
      </c>
      <c r="O27" s="11"/>
      <c r="P27" s="7"/>
      <c r="Q27" s="2"/>
      <c r="R27" s="6">
        <f t="shared" si="4"/>
        <v>0</v>
      </c>
      <c r="S27" s="2"/>
      <c r="T27" s="7">
        <v>0</v>
      </c>
      <c r="U27" s="2"/>
      <c r="V27" s="6">
        <f t="shared" si="5"/>
        <v>0</v>
      </c>
      <c r="W27" s="2"/>
      <c r="X27" s="7">
        <f t="shared" si="6"/>
        <v>0</v>
      </c>
      <c r="Y27" s="2"/>
      <c r="Z27" s="6">
        <f t="shared" si="7"/>
        <v>0</v>
      </c>
    </row>
    <row r="28" spans="1:26" s="28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0</v>
      </c>
      <c r="E28" s="1"/>
      <c r="F28" s="5">
        <f t="shared" ref="F28:F38" si="8">IF(D$12=0,0,D28/D$12)</f>
        <v>0</v>
      </c>
      <c r="G28" s="1"/>
      <c r="H28" s="1">
        <f>SUM(OSRRefH22_1x_0)</f>
        <v>0</v>
      </c>
      <c r="I28" s="1"/>
      <c r="J28" s="5">
        <f t="shared" ref="J28:J38" si="9">IF(H$12=0,0,H28/H$12)</f>
        <v>0</v>
      </c>
      <c r="K28" s="1"/>
      <c r="L28" s="1">
        <f t="shared" ref="L28:L38" si="10">+D28-H28</f>
        <v>0</v>
      </c>
      <c r="M28" s="1"/>
      <c r="N28" s="5">
        <f t="shared" ref="N28:N38" si="11">IF(H28=0,0,L28/H28)</f>
        <v>0</v>
      </c>
      <c r="O28" s="14"/>
      <c r="P28" s="1">
        <f>SUM(OSRRefP22_1x_0)</f>
        <v>0</v>
      </c>
      <c r="Q28" s="1"/>
      <c r="R28" s="5">
        <f t="shared" ref="R28:R38" si="12">IF(P$12=0,0,P28/P$12)</f>
        <v>0</v>
      </c>
      <c r="S28" s="1"/>
      <c r="T28" s="1">
        <f>SUM(OSRRefT22_1x_0)</f>
        <v>0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0</v>
      </c>
      <c r="Y28" s="1"/>
      <c r="Z28" s="5">
        <f t="shared" ref="Z28:Z38" si="15">IF(T28=0,0,X28/T28)</f>
        <v>0</v>
      </c>
    </row>
    <row r="29" spans="1:26" s="24" customFormat="1" hidden="1" outlineLevel="2" x14ac:dyDescent="0.25">
      <c r="A29" s="29"/>
      <c r="B29" s="11" t="str">
        <f>CONCATENATE("          ", "6001", " - ", "ADMINISTRATIVE SALARIES")</f>
        <v xml:space="preserve">          6001 - ADMINISTRATIVE SALARIES</v>
      </c>
      <c r="C29" s="11"/>
      <c r="D29" s="7"/>
      <c r="E29" s="2"/>
      <c r="F29" s="6">
        <f t="shared" si="8"/>
        <v>0</v>
      </c>
      <c r="G29" s="2"/>
      <c r="H29" s="7">
        <v>0</v>
      </c>
      <c r="I29" s="2"/>
      <c r="J29" s="6">
        <f t="shared" si="9"/>
        <v>0</v>
      </c>
      <c r="K29" s="2"/>
      <c r="L29" s="7">
        <f t="shared" si="10"/>
        <v>0</v>
      </c>
      <c r="M29" s="2"/>
      <c r="N29" s="6">
        <f t="shared" si="11"/>
        <v>0</v>
      </c>
      <c r="O29" s="11"/>
      <c r="P29" s="7"/>
      <c r="Q29" s="2"/>
      <c r="R29" s="6">
        <f t="shared" si="12"/>
        <v>0</v>
      </c>
      <c r="S29" s="2"/>
      <c r="T29" s="7">
        <v>0</v>
      </c>
      <c r="U29" s="2"/>
      <c r="V29" s="6">
        <f t="shared" si="13"/>
        <v>0</v>
      </c>
      <c r="W29" s="2"/>
      <c r="X29" s="7">
        <f t="shared" si="14"/>
        <v>0</v>
      </c>
      <c r="Y29" s="2"/>
      <c r="Z29" s="6">
        <f t="shared" si="15"/>
        <v>0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9"/>
      <c r="B31" s="11" t="str">
        <f>CONCATENATE("          ", "6003", " - ", "STAFF HOURLY-9 MONTH")</f>
        <v xml:space="preserve">          6003 - STAFF HOURLY-9 MONTH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9"/>
      <c r="B32" s="11" t="str">
        <f>CONCATENATE("          ", "6004", " - ", "STAFF HOURLY")</f>
        <v xml:space="preserve">          6004 - STAFF HOURLY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"6005", " - ", "TEMPORARY WAGES-HOURLY")</f>
        <v xml:space="preserve">          6005 - TEMPORARY WAGES-HOURLY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9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9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9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9"/>
      <c r="B37" s="11" t="str">
        <f>CONCATENATE("          ", "6009", " - ", "TEMPORARY-SEASONAL")</f>
        <v xml:space="preserve">          6009 - TEMPORARY-SEASONAL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9"/>
      <c r="B38" s="11" t="str">
        <f>CONCATENATE("          ", "6010", " - ", "GRATUITY")</f>
        <v xml:space="preserve">          6010 - GRATUITY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8" customFormat="1" outlineLevel="1" collapsed="1" x14ac:dyDescent="0.25">
      <c r="A39" s="27"/>
      <c r="B39" s="14" t="str">
        <f>CONCATENATE("     ","General                                           ")</f>
        <v xml:space="preserve">     General                                           </v>
      </c>
      <c r="C39" s="14"/>
      <c r="D39" s="1">
        <f>SUM(OSRRefD22_2x_0)</f>
        <v>0</v>
      </c>
      <c r="E39" s="1"/>
      <c r="F39" s="5">
        <f t="shared" ref="F39:F46" si="16">IF(D$12=0,0,D39/D$12)</f>
        <v>0</v>
      </c>
      <c r="G39" s="1"/>
      <c r="H39" s="1">
        <f>SUM(OSRRefH22_2x_0)</f>
        <v>0</v>
      </c>
      <c r="I39" s="1"/>
      <c r="J39" s="5">
        <f t="shared" ref="J39:J46" si="17">IF(H$12=0,0,H39/H$12)</f>
        <v>0</v>
      </c>
      <c r="K39" s="1"/>
      <c r="L39" s="1">
        <f t="shared" ref="L39:L46" si="18">+D39-H39</f>
        <v>0</v>
      </c>
      <c r="M39" s="1"/>
      <c r="N39" s="5">
        <f t="shared" ref="N39:N46" si="19">IF(H39=0,0,L39/H39)</f>
        <v>0</v>
      </c>
      <c r="O39" s="14"/>
      <c r="P39" s="1">
        <f>SUM(OSRRefP22_2x_0)</f>
        <v>7489.93</v>
      </c>
      <c r="Q39" s="1"/>
      <c r="R39" s="5">
        <f t="shared" ref="R39:R46" si="20">IF(P$12=0,0,P39/P$12)</f>
        <v>0</v>
      </c>
      <c r="S39" s="1"/>
      <c r="T39" s="1">
        <f>SUM(OSRRefT22_2x_0)</f>
        <v>0</v>
      </c>
      <c r="U39" s="1"/>
      <c r="V39" s="5">
        <f t="shared" ref="V39:V46" si="21">IF(T$12=0,0,T39/T$12)</f>
        <v>0</v>
      </c>
      <c r="W39" s="1"/>
      <c r="X39" s="1">
        <f t="shared" ref="X39:X46" si="22">+P39-T39</f>
        <v>7489.93</v>
      </c>
      <c r="Y39" s="1"/>
      <c r="Z39" s="5">
        <f t="shared" ref="Z39:Z46" si="23">IF(T39=0,0,X39/T39)</f>
        <v>0</v>
      </c>
    </row>
    <row r="40" spans="1:26" s="24" customFormat="1" hidden="1" outlineLevel="2" x14ac:dyDescent="0.25">
      <c r="A40" s="29"/>
      <c r="B40" s="11" t="str">
        <f>CONCATENATE("          ", "6279", " - ", "GENERAL EXPENSE")</f>
        <v xml:space="preserve">          6279 - GENERAL EXPENSE</v>
      </c>
      <c r="C40" s="11"/>
      <c r="D40" s="7"/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>
        <v>7489.93</v>
      </c>
      <c r="Q40" s="2"/>
      <c r="R40" s="6">
        <f t="shared" si="20"/>
        <v>0</v>
      </c>
      <c r="S40" s="2"/>
      <c r="T40" s="7"/>
      <c r="U40" s="2"/>
      <c r="V40" s="6">
        <f t="shared" si="21"/>
        <v>0</v>
      </c>
      <c r="W40" s="2"/>
      <c r="X40" s="7">
        <f t="shared" si="22"/>
        <v>7489.93</v>
      </c>
      <c r="Y40" s="2"/>
      <c r="Z40" s="6">
        <f t="shared" si="23"/>
        <v>0</v>
      </c>
    </row>
    <row r="41" spans="1:26" s="28" customFormat="1" outlineLevel="1" collapsed="1" x14ac:dyDescent="0.25">
      <c r="A41" s="27"/>
      <c r="B41" s="14" t="str">
        <f>CONCATENATE("     ","Services                                          ")</f>
        <v xml:space="preserve">     Services                                          </v>
      </c>
      <c r="C41" s="14"/>
      <c r="D41" s="1">
        <f>SUM(OSRRefD22_3x_0)</f>
        <v>0</v>
      </c>
      <c r="E41" s="1"/>
      <c r="F41" s="5">
        <f t="shared" si="16"/>
        <v>0</v>
      </c>
      <c r="G41" s="1"/>
      <c r="H41" s="1">
        <f>SUM(OSRRefH22_3x_0)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4"/>
      <c r="P41" s="1">
        <f>SUM(OSRRefP22_3x_0)</f>
        <v>0</v>
      </c>
      <c r="Q41" s="1"/>
      <c r="R41" s="5">
        <f t="shared" si="20"/>
        <v>0</v>
      </c>
      <c r="S41" s="1"/>
      <c r="T41" s="1">
        <f>SUM(OSRRefT22_3x_0)</f>
        <v>0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25">
      <c r="A42" s="29"/>
      <c r="B42" s="11" t="str">
        <f>CONCATENATE("          ", "6284", " - ", "TRASH REMOVAL EXPENSE")</f>
        <v xml:space="preserve">          6284 - TRASH REMOVAL EXPENSE</v>
      </c>
      <c r="C42" s="11"/>
      <c r="D42" s="7"/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/>
      <c r="Q42" s="2"/>
      <c r="R42" s="6">
        <f t="shared" si="20"/>
        <v>0</v>
      </c>
      <c r="S42" s="2"/>
      <c r="T42" s="7">
        <v>0</v>
      </c>
      <c r="U42" s="2"/>
      <c r="V42" s="6">
        <f t="shared" si="21"/>
        <v>0</v>
      </c>
      <c r="W42" s="2"/>
      <c r="X42" s="7">
        <f t="shared" si="22"/>
        <v>0</v>
      </c>
      <c r="Y42" s="2"/>
      <c r="Z42" s="6">
        <f t="shared" si="23"/>
        <v>0</v>
      </c>
    </row>
    <row r="43" spans="1:26" s="28" customFormat="1" outlineLevel="1" collapsed="1" x14ac:dyDescent="0.25">
      <c r="A43" s="27"/>
      <c r="B43" s="14" t="str">
        <f>CONCATENATE("     ","Supplies                                          ")</f>
        <v xml:space="preserve">     Supplies                                          </v>
      </c>
      <c r="C43" s="14"/>
      <c r="D43" s="1">
        <f>SUM(OSRRefD22_4x_0)</f>
        <v>0</v>
      </c>
      <c r="E43" s="1"/>
      <c r="F43" s="5">
        <f t="shared" si="16"/>
        <v>0</v>
      </c>
      <c r="G43" s="1"/>
      <c r="H43" s="1">
        <f>SUM(OSRRefH22_4x_0)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4"/>
      <c r="P43" s="1">
        <f>SUM(OSRRefP22_4x_0)</f>
        <v>498.58</v>
      </c>
      <c r="Q43" s="1"/>
      <c r="R43" s="5">
        <f t="shared" si="20"/>
        <v>0</v>
      </c>
      <c r="S43" s="1"/>
      <c r="T43" s="1">
        <f>SUM(OSRRefT22_4x_0)</f>
        <v>0</v>
      </c>
      <c r="U43" s="1"/>
      <c r="V43" s="5">
        <f t="shared" si="21"/>
        <v>0</v>
      </c>
      <c r="W43" s="1"/>
      <c r="X43" s="1">
        <f t="shared" si="22"/>
        <v>498.58</v>
      </c>
      <c r="Y43" s="1"/>
      <c r="Z43" s="5">
        <f t="shared" si="23"/>
        <v>0</v>
      </c>
    </row>
    <row r="44" spans="1:26" s="24" customFormat="1" hidden="1" outlineLevel="2" x14ac:dyDescent="0.25">
      <c r="A44" s="29"/>
      <c r="B44" s="11" t="str">
        <f>CONCATENATE("          ", "6241", " - ", "OFFICE EXPENSE")</f>
        <v xml:space="preserve">          6241 - OFFICE EXPENSE</v>
      </c>
      <c r="C44" s="11"/>
      <c r="D44" s="7"/>
      <c r="E44" s="2"/>
      <c r="F44" s="6">
        <f t="shared" si="16"/>
        <v>0</v>
      </c>
      <c r="G44" s="2"/>
      <c r="H44" s="7"/>
      <c r="I44" s="2"/>
      <c r="J44" s="6">
        <f t="shared" si="17"/>
        <v>0</v>
      </c>
      <c r="K44" s="2"/>
      <c r="L44" s="7">
        <f t="shared" si="18"/>
        <v>0</v>
      </c>
      <c r="M44" s="2"/>
      <c r="N44" s="6">
        <f t="shared" si="19"/>
        <v>0</v>
      </c>
      <c r="O44" s="11"/>
      <c r="P44" s="7">
        <v>498.58</v>
      </c>
      <c r="Q44" s="2"/>
      <c r="R44" s="6">
        <f t="shared" si="20"/>
        <v>0</v>
      </c>
      <c r="S44" s="2"/>
      <c r="T44" s="7"/>
      <c r="U44" s="2"/>
      <c r="V44" s="6">
        <f t="shared" si="21"/>
        <v>0</v>
      </c>
      <c r="W44" s="2"/>
      <c r="X44" s="7">
        <f t="shared" si="22"/>
        <v>498.58</v>
      </c>
      <c r="Y44" s="2"/>
      <c r="Z44" s="6">
        <f t="shared" si="23"/>
        <v>0</v>
      </c>
    </row>
    <row r="45" spans="1:26" s="28" customFormat="1" outlineLevel="1" collapsed="1" x14ac:dyDescent="0.25">
      <c r="A45" s="27"/>
      <c r="B45" s="14" t="str">
        <f>CONCATENATE("     ","Telephone/Data Lines                              ")</f>
        <v xml:space="preserve">     Telephone/Data Lines                              </v>
      </c>
      <c r="C45" s="14"/>
      <c r="D45" s="1">
        <f>SUM(OSRRefD22_5x_0)</f>
        <v>68.5</v>
      </c>
      <c r="E45" s="1"/>
      <c r="F45" s="5">
        <f t="shared" si="16"/>
        <v>0</v>
      </c>
      <c r="G45" s="1"/>
      <c r="H45" s="1">
        <f>SUM(OSRRefH22_5x_0)</f>
        <v>0</v>
      </c>
      <c r="I45" s="1"/>
      <c r="J45" s="5">
        <f t="shared" si="17"/>
        <v>0</v>
      </c>
      <c r="K45" s="1"/>
      <c r="L45" s="1">
        <f t="shared" si="18"/>
        <v>68.5</v>
      </c>
      <c r="M45" s="1"/>
      <c r="N45" s="5">
        <f t="shared" si="19"/>
        <v>0</v>
      </c>
      <c r="O45" s="14"/>
      <c r="P45" s="1">
        <f>SUM(OSRRefP22_5x_0)</f>
        <v>-27</v>
      </c>
      <c r="Q45" s="1"/>
      <c r="R45" s="5">
        <f t="shared" si="20"/>
        <v>0</v>
      </c>
      <c r="S45" s="1"/>
      <c r="T45" s="1">
        <f>SUM(OSRRefT22_5x_0)</f>
        <v>0</v>
      </c>
      <c r="U45" s="1"/>
      <c r="V45" s="5">
        <f t="shared" si="21"/>
        <v>0</v>
      </c>
      <c r="W45" s="1"/>
      <c r="X45" s="1">
        <f t="shared" si="22"/>
        <v>-27</v>
      </c>
      <c r="Y45" s="1"/>
      <c r="Z45" s="5">
        <f t="shared" si="23"/>
        <v>0</v>
      </c>
    </row>
    <row r="46" spans="1:26" s="24" customFormat="1" hidden="1" outlineLevel="2" x14ac:dyDescent="0.25">
      <c r="A46" s="29"/>
      <c r="B46" s="11" t="str">
        <f>CONCATENATE("          ", "6309", " - ", "TELEPHONE")</f>
        <v xml:space="preserve">          6309 - TELEPHONE</v>
      </c>
      <c r="C46" s="11"/>
      <c r="D46" s="7">
        <v>68.5</v>
      </c>
      <c r="E46" s="2"/>
      <c r="F46" s="6">
        <f t="shared" si="16"/>
        <v>0</v>
      </c>
      <c r="G46" s="2"/>
      <c r="H46" s="7"/>
      <c r="I46" s="2"/>
      <c r="J46" s="6">
        <f t="shared" si="17"/>
        <v>0</v>
      </c>
      <c r="K46" s="2"/>
      <c r="L46" s="7">
        <f t="shared" si="18"/>
        <v>68.5</v>
      </c>
      <c r="M46" s="2"/>
      <c r="N46" s="6">
        <f t="shared" si="19"/>
        <v>0</v>
      </c>
      <c r="O46" s="11"/>
      <c r="P46" s="7">
        <v>-27</v>
      </c>
      <c r="Q46" s="2"/>
      <c r="R46" s="6">
        <f t="shared" si="20"/>
        <v>0</v>
      </c>
      <c r="S46" s="2"/>
      <c r="T46" s="7"/>
      <c r="U46" s="2"/>
      <c r="V46" s="6">
        <f t="shared" si="21"/>
        <v>0</v>
      </c>
      <c r="W46" s="2"/>
      <c r="X46" s="7">
        <f t="shared" si="22"/>
        <v>-27</v>
      </c>
      <c r="Y46" s="2"/>
      <c r="Z46" s="6">
        <f t="shared" si="23"/>
        <v>0</v>
      </c>
    </row>
    <row r="47" spans="1:26" s="58" customFormat="1" x14ac:dyDescent="0.25">
      <c r="A47" s="36"/>
      <c r="B47" s="36"/>
      <c r="C47" s="36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6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collapsed="1" x14ac:dyDescent="0.25">
      <c r="A48" s="10"/>
      <c r="B48" s="26" t="s">
        <v>293</v>
      </c>
      <c r="C48" s="10"/>
      <c r="D48" s="4">
        <f>SUM(OSRRefD25x_0)</f>
        <v>14180.35</v>
      </c>
      <c r="E48" s="4"/>
      <c r="F48" s="12">
        <f t="shared" ref="F48:F49" si="24">IF(D$12=0,0,D48/D$12)</f>
        <v>0</v>
      </c>
      <c r="G48" s="4"/>
      <c r="H48" s="4">
        <f>SUM(OSRRefH25x_0)</f>
        <v>250</v>
      </c>
      <c r="I48" s="4"/>
      <c r="J48" s="12">
        <f t="shared" ref="J48:J49" si="25">IF(H$12=0,0,H48/H$12)</f>
        <v>0</v>
      </c>
      <c r="K48" s="4"/>
      <c r="L48" s="4">
        <f t="shared" ref="L48:L49" si="26">+D48-H48</f>
        <v>13930.35</v>
      </c>
      <c r="M48" s="4"/>
      <c r="N48" s="12">
        <f t="shared" ref="N48:N49" si="27">IF(H48=0,0,L48/H48)</f>
        <v>55.721400000000003</v>
      </c>
      <c r="O48" s="10"/>
      <c r="P48" s="4">
        <f>SUM(OSRRefP25x_0)</f>
        <v>14180.35</v>
      </c>
      <c r="Q48" s="4"/>
      <c r="R48" s="12">
        <f t="shared" ref="R48:R49" si="28">IF(P$12=0,0,P48/P$12)</f>
        <v>0</v>
      </c>
      <c r="S48" s="4"/>
      <c r="T48" s="4">
        <f>SUM(OSRRefT25x_0)</f>
        <v>250</v>
      </c>
      <c r="U48" s="4"/>
      <c r="V48" s="12">
        <f t="shared" ref="V48:V49" si="29">IF(T$12=0,0,T48/T$12)</f>
        <v>0</v>
      </c>
      <c r="W48" s="4"/>
      <c r="X48" s="4">
        <f t="shared" ref="X48:X49" si="30">+P48-T48</f>
        <v>13930.35</v>
      </c>
      <c r="Y48" s="4"/>
      <c r="Z48" s="12">
        <f t="shared" ref="Z48:Z49" si="31">IF(T48=0,0,X48/T48)</f>
        <v>55.721400000000003</v>
      </c>
    </row>
    <row r="49" spans="1:26" s="24" customFormat="1" hidden="1" outlineLevel="1" x14ac:dyDescent="0.25">
      <c r="A49" s="44"/>
      <c r="B49" s="11" t="str">
        <f>CONCATENATE("          ", "9150", " - ", "MISC. INCOME")</f>
        <v xml:space="preserve">          9150 - MISC. INCOME</v>
      </c>
      <c r="C49" s="11"/>
      <c r="D49" s="2">
        <f>--14180.35</f>
        <v>14180.35</v>
      </c>
      <c r="E49" s="2"/>
      <c r="F49" s="19">
        <f t="shared" si="24"/>
        <v>0</v>
      </c>
      <c r="G49" s="2"/>
      <c r="H49" s="2">
        <v>250</v>
      </c>
      <c r="I49" s="2"/>
      <c r="J49" s="19">
        <f t="shared" si="25"/>
        <v>0</v>
      </c>
      <c r="K49" s="2"/>
      <c r="L49" s="2">
        <f t="shared" si="26"/>
        <v>13930.35</v>
      </c>
      <c r="M49" s="2"/>
      <c r="N49" s="19">
        <f t="shared" si="27"/>
        <v>55.721400000000003</v>
      </c>
      <c r="O49" s="11"/>
      <c r="P49" s="2">
        <f>--14180.35</f>
        <v>14180.35</v>
      </c>
      <c r="Q49" s="2"/>
      <c r="R49" s="19">
        <f t="shared" si="28"/>
        <v>0</v>
      </c>
      <c r="S49" s="2"/>
      <c r="T49" s="2">
        <v>250</v>
      </c>
      <c r="U49" s="2"/>
      <c r="V49" s="19">
        <f t="shared" si="29"/>
        <v>0</v>
      </c>
      <c r="W49" s="2"/>
      <c r="X49" s="2">
        <f t="shared" si="30"/>
        <v>13930.35</v>
      </c>
      <c r="Y49" s="2"/>
      <c r="Z49" s="19">
        <f t="shared" si="31"/>
        <v>55.721400000000003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5" t="s">
        <v>277</v>
      </c>
      <c r="C51" s="25"/>
      <c r="D51" s="21">
        <f>+D16-D18+D48</f>
        <v>14111.85</v>
      </c>
      <c r="E51" s="13"/>
      <c r="F51" s="20">
        <f>IF(D$12=0,0,D51/D$12)</f>
        <v>0</v>
      </c>
      <c r="G51" s="13"/>
      <c r="H51" s="21">
        <f>+H16-H18+H48</f>
        <v>250</v>
      </c>
      <c r="I51" s="13"/>
      <c r="J51" s="20">
        <f>IF(H$12=0,0,H51/H$12)</f>
        <v>0</v>
      </c>
      <c r="K51" s="16"/>
      <c r="L51" s="21">
        <f>+D51-H51</f>
        <v>13861.85</v>
      </c>
      <c r="M51" s="16"/>
      <c r="N51" s="20">
        <f>IF(H51=0,0,L51/H51)</f>
        <v>55.447400000000002</v>
      </c>
      <c r="O51" s="26"/>
      <c r="P51" s="21">
        <f>+P16-P18+P48</f>
        <v>6218.84</v>
      </c>
      <c r="Q51" s="13"/>
      <c r="R51" s="20">
        <f>IF(P$12=0,0,P51/P$12)</f>
        <v>0</v>
      </c>
      <c r="S51" s="13"/>
      <c r="T51" s="21">
        <f>+T16-T18+T48</f>
        <v>250</v>
      </c>
      <c r="U51" s="13"/>
      <c r="V51" s="20">
        <f>IF(T$12=0,0,T51/T$12)</f>
        <v>0</v>
      </c>
      <c r="W51" s="16"/>
      <c r="X51" s="21">
        <f>+P51-T51</f>
        <v>5968.84</v>
      </c>
      <c r="Y51" s="16"/>
      <c r="Z51" s="20">
        <f>IF(T51=0,0,X51/T51)</f>
        <v>23.875360000000001</v>
      </c>
    </row>
    <row r="52" spans="1:26" x14ac:dyDescent="0.25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52"/>
      <c r="B53" s="10" t="s">
        <v>128</v>
      </c>
      <c r="C53" s="10"/>
      <c r="D53" s="4"/>
      <c r="E53" s="4"/>
      <c r="F53" s="12">
        <f>IF(D$12=0,0,D53/D$12)</f>
        <v>0</v>
      </c>
      <c r="G53" s="4"/>
      <c r="H53" s="4"/>
      <c r="I53" s="4"/>
      <c r="J53" s="12">
        <f>IF(H$12=0,0,H53/H$12)</f>
        <v>0</v>
      </c>
      <c r="K53" s="4"/>
      <c r="L53" s="4">
        <f>+D53-H53</f>
        <v>0</v>
      </c>
      <c r="M53" s="4"/>
      <c r="N53" s="12">
        <f>IF(H53=0,0,L53/H53)</f>
        <v>0</v>
      </c>
      <c r="O53" s="10"/>
      <c r="P53" s="4"/>
      <c r="Q53" s="4"/>
      <c r="R53" s="12">
        <f>IF(P$12=0,0,P53/P$12)</f>
        <v>0</v>
      </c>
      <c r="S53" s="4"/>
      <c r="T53" s="4"/>
      <c r="U53" s="4"/>
      <c r="V53" s="12">
        <f>IF(T$12=0,0,T53/T$12)</f>
        <v>0</v>
      </c>
      <c r="W53" s="4"/>
      <c r="X53" s="4">
        <f>+P53-T53</f>
        <v>0</v>
      </c>
      <c r="Y53" s="4"/>
      <c r="Z53" s="12">
        <f>IF(T53=0,0,X53/T53)</f>
        <v>0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.75" thickBot="1" x14ac:dyDescent="0.3">
      <c r="A55" s="10"/>
      <c r="B55" s="25" t="s">
        <v>126</v>
      </c>
      <c r="C55" s="25"/>
      <c r="D55" s="33">
        <f>+D51-D53</f>
        <v>14111.85</v>
      </c>
      <c r="E55" s="13"/>
      <c r="F55" s="31">
        <f>IF(D$12=0,0,D55/D$12)</f>
        <v>0</v>
      </c>
      <c r="G55" s="13"/>
      <c r="H55" s="33">
        <f>+H51-H53</f>
        <v>250</v>
      </c>
      <c r="I55" s="13"/>
      <c r="J55" s="31">
        <f>IF(H$12=0,0,H55/H$12)</f>
        <v>0</v>
      </c>
      <c r="K55" s="16"/>
      <c r="L55" s="33">
        <f>D55-H55</f>
        <v>13861.85</v>
      </c>
      <c r="M55" s="16"/>
      <c r="N55" s="31">
        <f>IF(H55=0,0,L55/H55)</f>
        <v>55.447400000000002</v>
      </c>
      <c r="O55" s="26"/>
      <c r="P55" s="33">
        <f>+P51-P53</f>
        <v>6218.84</v>
      </c>
      <c r="Q55" s="13"/>
      <c r="R55" s="31">
        <f>IF(P$12=0,0,P55/P$12)</f>
        <v>0</v>
      </c>
      <c r="S55" s="13"/>
      <c r="T55" s="33">
        <f>+T51-T53</f>
        <v>250</v>
      </c>
      <c r="U55" s="13"/>
      <c r="V55" s="31">
        <f>IF(T$12=0,0,T55/T$12)</f>
        <v>0</v>
      </c>
      <c r="W55" s="16"/>
      <c r="X55" s="33">
        <f>P55-T55</f>
        <v>5968.84</v>
      </c>
      <c r="Y55" s="16"/>
      <c r="Z55" s="31">
        <f>IF(T55=0,0,X55/T55)</f>
        <v>23.875360000000001</v>
      </c>
    </row>
    <row r="56" spans="1:26" ht="15.75" thickTop="1" x14ac:dyDescent="0.25">
      <c r="A56" s="9"/>
      <c r="B56" s="9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x14ac:dyDescent="0.25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ht="15.75" thickBot="1" x14ac:dyDescent="0.3">
      <c r="A58" s="10"/>
      <c r="B58" s="25" t="s">
        <v>294</v>
      </c>
      <c r="C58" s="25"/>
      <c r="D58" s="35">
        <f>SUM(D55:D57)</f>
        <v>14111.85</v>
      </c>
      <c r="E58" s="13"/>
      <c r="F58" s="34">
        <f>IF(D$12=0,0,D58/D$12)</f>
        <v>0</v>
      </c>
      <c r="G58" s="13"/>
      <c r="H58" s="35">
        <f>SUM(H55:H57)</f>
        <v>250</v>
      </c>
      <c r="I58" s="13"/>
      <c r="J58" s="34">
        <f>IF(H$12=0,0,H58/H$12)</f>
        <v>0</v>
      </c>
      <c r="K58" s="16"/>
      <c r="L58" s="35">
        <f>+D58-H58</f>
        <v>13861.85</v>
      </c>
      <c r="M58" s="16"/>
      <c r="N58" s="34">
        <f>IF(H58=0,0,L58/H58)</f>
        <v>55.447400000000002</v>
      </c>
      <c r="O58" s="26"/>
      <c r="P58" s="35">
        <f>SUM(P55:P57)</f>
        <v>6218.84</v>
      </c>
      <c r="Q58" s="13"/>
      <c r="R58" s="34">
        <f>IF(P$12=0,0,P58/P$12)</f>
        <v>0</v>
      </c>
      <c r="S58" s="13"/>
      <c r="T58" s="35">
        <f>SUM(T55:T57)</f>
        <v>250</v>
      </c>
      <c r="U58" s="13"/>
      <c r="V58" s="34">
        <f>IF(T$12=0,0,T58/T$12)</f>
        <v>0</v>
      </c>
      <c r="W58" s="16"/>
      <c r="X58" s="35">
        <f>+P58-T58</f>
        <v>5968.84</v>
      </c>
      <c r="Y58" s="16"/>
      <c r="Z58" s="34">
        <f>IF(T58=0,0,X58/T58)</f>
        <v>23.875360000000001</v>
      </c>
    </row>
    <row r="59" spans="1:26" ht="15.75" thickTop="1" x14ac:dyDescent="0.25">
      <c r="A59" s="9"/>
      <c r="C59" s="9"/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A60" s="9"/>
      <c r="B60" s="61">
        <v>44481.978956793981</v>
      </c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25">
      <c r="A61" s="9"/>
      <c r="B61" s="56" t="s">
        <v>56</v>
      </c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  <row r="62" spans="1:26" x14ac:dyDescent="0.25">
      <c r="A62" s="9"/>
      <c r="B62" s="54"/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25"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92D050"/>
    <outlinePr summaryBelow="0" summaryRight="0"/>
  </sheetPr>
  <dimension ref="A2:Z3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","424", " - ", "Blair Field")</f>
        <v>Department 424 - Blair Field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108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295</v>
      </c>
      <c r="C18" s="10"/>
      <c r="D18" s="22">
        <f>SUM(OSRRefD22x_0)</f>
        <v>479.29</v>
      </c>
      <c r="E18" s="22"/>
      <c r="F18" s="32">
        <f t="shared" ref="F18:F22" si="0">IF(D$12=0,0,D18/D$12)</f>
        <v>0</v>
      </c>
      <c r="G18" s="22"/>
      <c r="H18" s="22">
        <f>SUM(OSRRefH22x_0)</f>
        <v>479</v>
      </c>
      <c r="I18" s="22"/>
      <c r="J18" s="32">
        <f t="shared" ref="J18:J22" si="1">IF(H$12=0,0,H18/H$12)</f>
        <v>0</v>
      </c>
      <c r="K18" s="4"/>
      <c r="L18" s="22">
        <f t="shared" ref="L18:L22" si="2">+D18-H18</f>
        <v>0.29000000000002046</v>
      </c>
      <c r="M18" s="4"/>
      <c r="N18" s="32">
        <f t="shared" ref="N18:N22" si="3">IF(H18=0,0,L18/H18)</f>
        <v>6.054279749478506E-4</v>
      </c>
      <c r="O18" s="10"/>
      <c r="P18" s="22">
        <f>SUM(OSRRefP22x_0)</f>
        <v>1437.87</v>
      </c>
      <c r="Q18" s="22"/>
      <c r="R18" s="32">
        <f t="shared" ref="R18:R22" si="4">IF(P$12=0,0,P18/P$12)</f>
        <v>0</v>
      </c>
      <c r="S18" s="22"/>
      <c r="T18" s="22">
        <f>SUM(OSRRefT22x_0)</f>
        <v>1437</v>
      </c>
      <c r="U18" s="22"/>
      <c r="V18" s="32">
        <f t="shared" ref="V18:V22" si="5">IF(T$12=0,0,T18/T$12)</f>
        <v>0</v>
      </c>
      <c r="W18" s="4"/>
      <c r="X18" s="22">
        <f t="shared" ref="X18:X22" si="6">+P18-T18</f>
        <v>0.86999999999989086</v>
      </c>
      <c r="Y18" s="4"/>
      <c r="Z18" s="32">
        <f t="shared" ref="Z18:Z22" si="7">IF(T18=0,0,X18/T18)</f>
        <v>6.0542797494773199E-4</v>
      </c>
    </row>
    <row r="19" spans="1:26" s="28" customFormat="1" outlineLevel="1" collapsed="1" x14ac:dyDescent="0.25">
      <c r="A19" s="27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479.29</v>
      </c>
      <c r="E19" s="1"/>
      <c r="F19" s="5">
        <f t="shared" si="0"/>
        <v>0</v>
      </c>
      <c r="G19" s="1"/>
      <c r="H19" s="1">
        <f>SUM(OSRRefH22_0x_0)</f>
        <v>479</v>
      </c>
      <c r="I19" s="1"/>
      <c r="J19" s="5">
        <f t="shared" si="1"/>
        <v>0</v>
      </c>
      <c r="K19" s="1"/>
      <c r="L19" s="1">
        <f t="shared" si="2"/>
        <v>0.29000000000002046</v>
      </c>
      <c r="M19" s="1"/>
      <c r="N19" s="5">
        <f t="shared" si="3"/>
        <v>6.054279749478506E-4</v>
      </c>
      <c r="O19" s="14"/>
      <c r="P19" s="1">
        <f>SUM(OSRRefP22_0x_0)</f>
        <v>1437.87</v>
      </c>
      <c r="Q19" s="1"/>
      <c r="R19" s="5">
        <f t="shared" si="4"/>
        <v>0</v>
      </c>
      <c r="S19" s="1"/>
      <c r="T19" s="1">
        <f>SUM(OSRRefT22_0x_0)</f>
        <v>1437</v>
      </c>
      <c r="U19" s="1"/>
      <c r="V19" s="5">
        <f t="shared" si="5"/>
        <v>0</v>
      </c>
      <c r="W19" s="1"/>
      <c r="X19" s="1">
        <f t="shared" si="6"/>
        <v>0.86999999999989086</v>
      </c>
      <c r="Y19" s="1"/>
      <c r="Z19" s="5">
        <f t="shared" si="7"/>
        <v>6.0542797494773199E-4</v>
      </c>
    </row>
    <row r="20" spans="1:26" s="24" customFormat="1" hidden="1" outlineLevel="2" x14ac:dyDescent="0.25">
      <c r="A20" s="29"/>
      <c r="B20" s="11" t="str">
        <f>CONCATENATE("          ", "6322", " - ", "EQUIPMENT DEPRECIATION EXPENSE")</f>
        <v xml:space="preserve">          6322 - EQUIPMENT DEPRECIATION EXPENSE</v>
      </c>
      <c r="C20" s="11"/>
      <c r="D20" s="7">
        <v>479.29</v>
      </c>
      <c r="E20" s="2"/>
      <c r="F20" s="6">
        <f t="shared" si="0"/>
        <v>0</v>
      </c>
      <c r="G20" s="2"/>
      <c r="H20" s="7">
        <v>479</v>
      </c>
      <c r="I20" s="2"/>
      <c r="J20" s="6">
        <f t="shared" si="1"/>
        <v>0</v>
      </c>
      <c r="K20" s="2"/>
      <c r="L20" s="7">
        <f t="shared" si="2"/>
        <v>0.29000000000002046</v>
      </c>
      <c r="M20" s="2"/>
      <c r="N20" s="6">
        <f t="shared" si="3"/>
        <v>6.054279749478506E-4</v>
      </c>
      <c r="O20" s="11"/>
      <c r="P20" s="7">
        <v>1437.87</v>
      </c>
      <c r="Q20" s="2"/>
      <c r="R20" s="6">
        <f t="shared" si="4"/>
        <v>0</v>
      </c>
      <c r="S20" s="2"/>
      <c r="T20" s="7">
        <v>1437</v>
      </c>
      <c r="U20" s="2"/>
      <c r="V20" s="6">
        <f t="shared" si="5"/>
        <v>0</v>
      </c>
      <c r="W20" s="2"/>
      <c r="X20" s="7">
        <f t="shared" si="6"/>
        <v>0.86999999999989086</v>
      </c>
      <c r="Y20" s="2"/>
      <c r="Z20" s="6">
        <f t="shared" si="7"/>
        <v>6.0542797494773199E-4</v>
      </c>
    </row>
    <row r="21" spans="1:26" s="28" customFormat="1" outlineLevel="1" collapsed="1" x14ac:dyDescent="0.25">
      <c r="A21" s="27"/>
      <c r="B21" s="14" t="str">
        <f>CONCATENATE("     ","Services                                          ")</f>
        <v xml:space="preserve">     Services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0</v>
      </c>
      <c r="Y21" s="1"/>
      <c r="Z21" s="5">
        <f t="shared" si="7"/>
        <v>0</v>
      </c>
    </row>
    <row r="22" spans="1:26" s="24" customFormat="1" hidden="1" outlineLevel="2" x14ac:dyDescent="0.25">
      <c r="A22" s="29"/>
      <c r="B22" s="11" t="str">
        <f>CONCATENATE("          ", "6284", " - ", "TRASH REMOVAL EXPENSE")</f>
        <v xml:space="preserve">          6284 - TRASH REMOVAL EXPENSE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/>
      <c r="Q22" s="2"/>
      <c r="R22" s="6">
        <f t="shared" si="4"/>
        <v>0</v>
      </c>
      <c r="S22" s="2"/>
      <c r="T22" s="7">
        <v>0</v>
      </c>
      <c r="U22" s="2"/>
      <c r="V22" s="6">
        <f t="shared" si="5"/>
        <v>0</v>
      </c>
      <c r="W22" s="2"/>
      <c r="X22" s="7">
        <f t="shared" si="6"/>
        <v>0</v>
      </c>
      <c r="Y22" s="2"/>
      <c r="Z22" s="6">
        <f t="shared" si="7"/>
        <v>0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6" t="s">
        <v>293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5" t="s">
        <v>277</v>
      </c>
      <c r="C26" s="25"/>
      <c r="D26" s="21">
        <f>+D16-D18+D24</f>
        <v>-479.29</v>
      </c>
      <c r="E26" s="13"/>
      <c r="F26" s="20">
        <f>IF(D$12=0,0,D26/D$12)</f>
        <v>0</v>
      </c>
      <c r="G26" s="13"/>
      <c r="H26" s="21">
        <f>+H16-H18+H24</f>
        <v>-479</v>
      </c>
      <c r="I26" s="13"/>
      <c r="J26" s="20">
        <f>IF(H$12=0,0,H26/H$12)</f>
        <v>0</v>
      </c>
      <c r="K26" s="16"/>
      <c r="L26" s="21">
        <f>+D26-H26</f>
        <v>-0.29000000000002046</v>
      </c>
      <c r="M26" s="16"/>
      <c r="N26" s="20">
        <f>IF(H26=0,0,L26/H26)</f>
        <v>6.054279749478506E-4</v>
      </c>
      <c r="O26" s="26"/>
      <c r="P26" s="21">
        <f>+P16-P18+P24</f>
        <v>-1437.87</v>
      </c>
      <c r="Q26" s="13"/>
      <c r="R26" s="20">
        <f>IF(P$12=0,0,P26/P$12)</f>
        <v>0</v>
      </c>
      <c r="S26" s="13"/>
      <c r="T26" s="21">
        <f>+T16-T18+T24</f>
        <v>-1437</v>
      </c>
      <c r="U26" s="13"/>
      <c r="V26" s="20">
        <f>IF(T$12=0,0,T26/T$12)</f>
        <v>0</v>
      </c>
      <c r="W26" s="16"/>
      <c r="X26" s="21">
        <f>+P26-T26</f>
        <v>-0.86999999999989086</v>
      </c>
      <c r="Y26" s="16"/>
      <c r="Z26" s="20">
        <f>IF(T26=0,0,X26/T26)</f>
        <v>6.0542797494773199E-4</v>
      </c>
    </row>
    <row r="27" spans="1:26" x14ac:dyDescent="0.25">
      <c r="A27" s="9"/>
      <c r="B27" s="10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128</v>
      </c>
      <c r="C28" s="10"/>
      <c r="D28" s="4"/>
      <c r="E28" s="4"/>
      <c r="F28" s="12">
        <f>IF(D$12=0,0,D28/D$12)</f>
        <v>0</v>
      </c>
      <c r="G28" s="4"/>
      <c r="H28" s="4"/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/>
      <c r="Q28" s="4"/>
      <c r="R28" s="12">
        <f>IF(P$12=0,0,P28/P$12)</f>
        <v>0</v>
      </c>
      <c r="S28" s="4"/>
      <c r="T28" s="4"/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ht="15.75" thickBot="1" x14ac:dyDescent="0.3">
      <c r="A30" s="10"/>
      <c r="B30" s="25" t="s">
        <v>126</v>
      </c>
      <c r="C30" s="25"/>
      <c r="D30" s="33">
        <f>+D26-D28</f>
        <v>-479.29</v>
      </c>
      <c r="E30" s="13"/>
      <c r="F30" s="31">
        <f>IF(D$12=0,0,D30/D$12)</f>
        <v>0</v>
      </c>
      <c r="G30" s="13"/>
      <c r="H30" s="33">
        <f>+H26-H28</f>
        <v>-479</v>
      </c>
      <c r="I30" s="13"/>
      <c r="J30" s="31">
        <f>IF(H$12=0,0,H30/H$12)</f>
        <v>0</v>
      </c>
      <c r="K30" s="16"/>
      <c r="L30" s="33">
        <f>D30-H30</f>
        <v>-0.29000000000002046</v>
      </c>
      <c r="M30" s="16"/>
      <c r="N30" s="31">
        <f>IF(H30=0,0,L30/H30)</f>
        <v>6.054279749478506E-4</v>
      </c>
      <c r="O30" s="26"/>
      <c r="P30" s="33">
        <f>+P26-P28</f>
        <v>-1437.87</v>
      </c>
      <c r="Q30" s="13"/>
      <c r="R30" s="31">
        <f>IF(P$12=0,0,P30/P$12)</f>
        <v>0</v>
      </c>
      <c r="S30" s="13"/>
      <c r="T30" s="33">
        <f>+T26-T28</f>
        <v>-1437</v>
      </c>
      <c r="U30" s="13"/>
      <c r="V30" s="31">
        <f>IF(T$12=0,0,T30/T$12)</f>
        <v>0</v>
      </c>
      <c r="W30" s="16"/>
      <c r="X30" s="33">
        <f>P30-T30</f>
        <v>-0.86999999999989086</v>
      </c>
      <c r="Y30" s="16"/>
      <c r="Z30" s="31">
        <f>IF(T30=0,0,X30/T30)</f>
        <v>6.0542797494773199E-4</v>
      </c>
    </row>
    <row r="31" spans="1:26" ht="15.75" thickTop="1" x14ac:dyDescent="0.25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.75" thickBot="1" x14ac:dyDescent="0.3">
      <c r="A33" s="10"/>
      <c r="B33" s="25" t="s">
        <v>294</v>
      </c>
      <c r="C33" s="25"/>
      <c r="D33" s="35">
        <f>SUM(D30:D32)</f>
        <v>-479.29</v>
      </c>
      <c r="E33" s="13"/>
      <c r="F33" s="34">
        <f>IF(D$12=0,0,D33/D$12)</f>
        <v>0</v>
      </c>
      <c r="G33" s="13"/>
      <c r="H33" s="35">
        <f>SUM(H30:H32)</f>
        <v>-479</v>
      </c>
      <c r="I33" s="13"/>
      <c r="J33" s="34">
        <f>IF(H$12=0,0,H33/H$12)</f>
        <v>0</v>
      </c>
      <c r="K33" s="16"/>
      <c r="L33" s="35">
        <f>+D33-H33</f>
        <v>-0.29000000000002046</v>
      </c>
      <c r="M33" s="16"/>
      <c r="N33" s="34">
        <f>IF(H33=0,0,L33/H33)</f>
        <v>6.054279749478506E-4</v>
      </c>
      <c r="O33" s="26"/>
      <c r="P33" s="35">
        <f>SUM(P30:P32)</f>
        <v>-1437.87</v>
      </c>
      <c r="Q33" s="13"/>
      <c r="R33" s="34">
        <f>IF(P$12=0,0,P33/P$12)</f>
        <v>0</v>
      </c>
      <c r="S33" s="13"/>
      <c r="T33" s="35">
        <f>SUM(T30:T32)</f>
        <v>-1437</v>
      </c>
      <c r="U33" s="13"/>
      <c r="V33" s="34">
        <f>IF(T$12=0,0,T33/T$12)</f>
        <v>0</v>
      </c>
      <c r="W33" s="16"/>
      <c r="X33" s="35">
        <f>+P33-T33</f>
        <v>-0.86999999999989086</v>
      </c>
      <c r="Y33" s="16"/>
      <c r="Z33" s="34">
        <f>IF(T33=0,0,X33/T33)</f>
        <v>6.0542797494773199E-4</v>
      </c>
    </row>
    <row r="34" spans="1:26" ht="15.75" thickTop="1" x14ac:dyDescent="0.25">
      <c r="A34" s="9"/>
      <c r="C34" s="9"/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6" x14ac:dyDescent="0.25">
      <c r="A35" s="9"/>
      <c r="B35" s="61">
        <v>44481.978956793981</v>
      </c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6" x14ac:dyDescent="0.25">
      <c r="A36" s="9"/>
      <c r="B36" s="56" t="s">
        <v>56</v>
      </c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25">
      <c r="A37" s="9"/>
      <c r="B37" s="54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92D050"/>
    <outlinePr summaryBelow="0" summaryRight="0"/>
  </sheetPr>
  <dimension ref="A2:Z3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","425", " - ", "Events Center")</f>
        <v>Department 425 - Events Center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6" t="s">
        <v>257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-1034.73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-1034.73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-1034.73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-1034.73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108</v>
      </c>
      <c r="C17" s="25"/>
      <c r="D17" s="21">
        <f>D12-D14</f>
        <v>0</v>
      </c>
      <c r="E17" s="13"/>
      <c r="F17" s="20">
        <f>IF(D$12=0,0,D17/D$12)</f>
        <v>0</v>
      </c>
      <c r="G17" s="13"/>
      <c r="H17" s="21">
        <f>H12-H14</f>
        <v>0</v>
      </c>
      <c r="I17" s="13"/>
      <c r="J17" s="20">
        <f>IF(H$12=0,0,H17/H$12)</f>
        <v>0</v>
      </c>
      <c r="K17" s="16"/>
      <c r="L17" s="21">
        <f>+D17-H17</f>
        <v>0</v>
      </c>
      <c r="M17" s="16"/>
      <c r="N17" s="20">
        <f>IF(H17=0,0,L17/H17)</f>
        <v>0</v>
      </c>
      <c r="O17" s="26"/>
      <c r="P17" s="21">
        <f>P12-P14</f>
        <v>1034.73</v>
      </c>
      <c r="Q17" s="13"/>
      <c r="R17" s="20">
        <f>IF(P$12=0,0,P17/P$12)</f>
        <v>0</v>
      </c>
      <c r="S17" s="13"/>
      <c r="T17" s="21">
        <f>T12-T14</f>
        <v>0</v>
      </c>
      <c r="U17" s="13"/>
      <c r="V17" s="20">
        <f>IF(T$12=0,0,T17/T$12)</f>
        <v>0</v>
      </c>
      <c r="W17" s="16"/>
      <c r="X17" s="21">
        <f>+P17-T17</f>
        <v>1034.73</v>
      </c>
      <c r="Y17" s="16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295</v>
      </c>
      <c r="C19" s="10"/>
      <c r="D19" s="22">
        <f>SUM(OSRRefD22x_0)</f>
        <v>1000.91</v>
      </c>
      <c r="E19" s="22"/>
      <c r="F19" s="32">
        <f t="shared" ref="F19:F23" si="8">IF(D$12=0,0,D19/D$12)</f>
        <v>0</v>
      </c>
      <c r="G19" s="22"/>
      <c r="H19" s="22">
        <f>SUM(OSRRefH22x_0)</f>
        <v>1001</v>
      </c>
      <c r="I19" s="22"/>
      <c r="J19" s="32">
        <f t="shared" ref="J19:J23" si="9">IF(H$12=0,0,H19/H$12)</f>
        <v>0</v>
      </c>
      <c r="K19" s="4"/>
      <c r="L19" s="22">
        <f t="shared" ref="L19:L23" si="10">+D19-H19</f>
        <v>-9.0000000000031832E-2</v>
      </c>
      <c r="M19" s="4"/>
      <c r="N19" s="32">
        <f t="shared" ref="N19:N23" si="11">IF(H19=0,0,L19/H19)</f>
        <v>-8.9910089910121704E-5</v>
      </c>
      <c r="O19" s="10"/>
      <c r="P19" s="22">
        <f>SUM(OSRRefP22x_0)</f>
        <v>3002.73</v>
      </c>
      <c r="Q19" s="22"/>
      <c r="R19" s="32">
        <f t="shared" ref="R19:R23" si="12">IF(P$12=0,0,P19/P$12)</f>
        <v>0</v>
      </c>
      <c r="S19" s="22"/>
      <c r="T19" s="22">
        <f>SUM(OSRRefT22x_0)</f>
        <v>3003</v>
      </c>
      <c r="U19" s="22"/>
      <c r="V19" s="32">
        <f t="shared" ref="V19:V23" si="13">IF(T$12=0,0,T19/T$12)</f>
        <v>0</v>
      </c>
      <c r="W19" s="4"/>
      <c r="X19" s="22">
        <f t="shared" ref="X19:X23" si="14">+P19-T19</f>
        <v>-0.26999999999998181</v>
      </c>
      <c r="Y19" s="4"/>
      <c r="Z19" s="32">
        <f t="shared" ref="Z19:Z23" si="15">IF(T19=0,0,X19/T19)</f>
        <v>-8.9910089910083852E-5</v>
      </c>
    </row>
    <row r="20" spans="1:26" s="28" customFormat="1" outlineLevel="1" collapsed="1" x14ac:dyDescent="0.25">
      <c r="A20" s="27"/>
      <c r="B20" s="14" t="str">
        <f>CONCATENATE("     ","Depreciation                                      ")</f>
        <v xml:space="preserve">     Depreciation                                      </v>
      </c>
      <c r="C20" s="14"/>
      <c r="D20" s="1">
        <f>SUM(OSRRefD22_0x_0)</f>
        <v>1000.91</v>
      </c>
      <c r="E20" s="1"/>
      <c r="F20" s="5">
        <f t="shared" si="8"/>
        <v>0</v>
      </c>
      <c r="G20" s="1"/>
      <c r="H20" s="1">
        <f>SUM(OSRRefH22_0x_0)</f>
        <v>1001</v>
      </c>
      <c r="I20" s="1"/>
      <c r="J20" s="5">
        <f t="shared" si="9"/>
        <v>0</v>
      </c>
      <c r="K20" s="1"/>
      <c r="L20" s="1">
        <f t="shared" si="10"/>
        <v>-9.0000000000031832E-2</v>
      </c>
      <c r="M20" s="1"/>
      <c r="N20" s="5">
        <f t="shared" si="11"/>
        <v>-8.9910089910121704E-5</v>
      </c>
      <c r="O20" s="14"/>
      <c r="P20" s="1">
        <f>SUM(OSRRefP22_0x_0)</f>
        <v>3002.73</v>
      </c>
      <c r="Q20" s="1"/>
      <c r="R20" s="5">
        <f t="shared" si="12"/>
        <v>0</v>
      </c>
      <c r="S20" s="1"/>
      <c r="T20" s="1">
        <f>SUM(OSRRefT22_0x_0)</f>
        <v>3003</v>
      </c>
      <c r="U20" s="1"/>
      <c r="V20" s="5">
        <f t="shared" si="13"/>
        <v>0</v>
      </c>
      <c r="W20" s="1"/>
      <c r="X20" s="1">
        <f t="shared" si="14"/>
        <v>-0.26999999999998181</v>
      </c>
      <c r="Y20" s="1"/>
      <c r="Z20" s="5">
        <f t="shared" si="15"/>
        <v>-8.9910089910083852E-5</v>
      </c>
    </row>
    <row r="21" spans="1:26" s="24" customFormat="1" hidden="1" outlineLevel="2" x14ac:dyDescent="0.25">
      <c r="A21" s="29"/>
      <c r="B21" s="11" t="str">
        <f>CONCATENATE("          ", "6322", " - ", "EQUIPMENT DEPRECIATION EXPENSE")</f>
        <v xml:space="preserve">          6322 - EQUIPMENT DEPRECIATION EXPENSE</v>
      </c>
      <c r="C21" s="11"/>
      <c r="D21" s="7">
        <v>1000.91</v>
      </c>
      <c r="E21" s="2"/>
      <c r="F21" s="6">
        <f t="shared" si="8"/>
        <v>0</v>
      </c>
      <c r="G21" s="2"/>
      <c r="H21" s="7">
        <v>1001</v>
      </c>
      <c r="I21" s="2"/>
      <c r="J21" s="6">
        <f t="shared" si="9"/>
        <v>0</v>
      </c>
      <c r="K21" s="2"/>
      <c r="L21" s="7">
        <f t="shared" si="10"/>
        <v>-9.0000000000031832E-2</v>
      </c>
      <c r="M21" s="2"/>
      <c r="N21" s="6">
        <f t="shared" si="11"/>
        <v>-8.9910089910121704E-5</v>
      </c>
      <c r="O21" s="11"/>
      <c r="P21" s="7">
        <v>3002.73</v>
      </c>
      <c r="Q21" s="2"/>
      <c r="R21" s="6">
        <f t="shared" si="12"/>
        <v>0</v>
      </c>
      <c r="S21" s="2"/>
      <c r="T21" s="7">
        <v>3003</v>
      </c>
      <c r="U21" s="2"/>
      <c r="V21" s="6">
        <f t="shared" si="13"/>
        <v>0</v>
      </c>
      <c r="W21" s="2"/>
      <c r="X21" s="7">
        <f t="shared" si="14"/>
        <v>-0.26999999999998181</v>
      </c>
      <c r="Y21" s="2"/>
      <c r="Z21" s="6">
        <f t="shared" si="15"/>
        <v>-8.9910089910083852E-5</v>
      </c>
    </row>
    <row r="22" spans="1:26" s="28" customFormat="1" outlineLevel="1" collapsed="1" x14ac:dyDescent="0.25">
      <c r="A22" s="27"/>
      <c r="B22" s="14" t="str">
        <f>CONCATENATE("     ","Services                                          ")</f>
        <v xml:space="preserve">     Services                                          </v>
      </c>
      <c r="C22" s="14"/>
      <c r="D22" s="1">
        <f>SUM(OSRRefD22_1x_0)</f>
        <v>0</v>
      </c>
      <c r="E22" s="1"/>
      <c r="F22" s="5">
        <f t="shared" si="8"/>
        <v>0</v>
      </c>
      <c r="G22" s="1"/>
      <c r="H22" s="1">
        <f>SUM(OSRRefH22_1x_0)</f>
        <v>0</v>
      </c>
      <c r="I22" s="1"/>
      <c r="J22" s="5">
        <f t="shared" si="9"/>
        <v>0</v>
      </c>
      <c r="K22" s="1"/>
      <c r="L22" s="1">
        <f t="shared" si="10"/>
        <v>0</v>
      </c>
      <c r="M22" s="1"/>
      <c r="N22" s="5">
        <f t="shared" si="11"/>
        <v>0</v>
      </c>
      <c r="O22" s="14"/>
      <c r="P22" s="1">
        <f>SUM(OSRRefP22_1x_0)</f>
        <v>0</v>
      </c>
      <c r="Q22" s="1"/>
      <c r="R22" s="5">
        <f t="shared" si="12"/>
        <v>0</v>
      </c>
      <c r="S22" s="1"/>
      <c r="T22" s="1">
        <f>SUM(OSRRefT22_1x_0)</f>
        <v>0</v>
      </c>
      <c r="U22" s="1"/>
      <c r="V22" s="5">
        <f t="shared" si="13"/>
        <v>0</v>
      </c>
      <c r="W22" s="1"/>
      <c r="X22" s="1">
        <f t="shared" si="14"/>
        <v>0</v>
      </c>
      <c r="Y22" s="1"/>
      <c r="Z22" s="5">
        <f t="shared" si="15"/>
        <v>0</v>
      </c>
    </row>
    <row r="23" spans="1:26" s="24" customFormat="1" hidden="1" outlineLevel="2" x14ac:dyDescent="0.25">
      <c r="A23" s="29"/>
      <c r="B23" s="11" t="str">
        <f>CONCATENATE("          ", "6284", " - ", "TRASH REMOVAL EXPENSE")</f>
        <v xml:space="preserve">          6284 - TRASH REMOVAL EXPENSE</v>
      </c>
      <c r="C23" s="11"/>
      <c r="D23" s="7"/>
      <c r="E23" s="2"/>
      <c r="F23" s="6">
        <f t="shared" si="8"/>
        <v>0</v>
      </c>
      <c r="G23" s="2"/>
      <c r="H23" s="7"/>
      <c r="I23" s="2"/>
      <c r="J23" s="6">
        <f t="shared" si="9"/>
        <v>0</v>
      </c>
      <c r="K23" s="2"/>
      <c r="L23" s="7">
        <f t="shared" si="10"/>
        <v>0</v>
      </c>
      <c r="M23" s="2"/>
      <c r="N23" s="6">
        <f t="shared" si="11"/>
        <v>0</v>
      </c>
      <c r="O23" s="11"/>
      <c r="P23" s="7"/>
      <c r="Q23" s="2"/>
      <c r="R23" s="6">
        <f t="shared" si="12"/>
        <v>0</v>
      </c>
      <c r="S23" s="2"/>
      <c r="T23" s="7">
        <v>0</v>
      </c>
      <c r="U23" s="2"/>
      <c r="V23" s="6">
        <f t="shared" si="13"/>
        <v>0</v>
      </c>
      <c r="W23" s="2"/>
      <c r="X23" s="7">
        <f t="shared" si="14"/>
        <v>0</v>
      </c>
      <c r="Y23" s="2"/>
      <c r="Z23" s="6">
        <f t="shared" si="15"/>
        <v>0</v>
      </c>
    </row>
    <row r="24" spans="1:26" s="58" customFormat="1" x14ac:dyDescent="0.25">
      <c r="A24" s="36"/>
      <c r="B24" s="36"/>
      <c r="C24" s="36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293</v>
      </c>
      <c r="C25" s="10"/>
      <c r="D25" s="4">
        <f>SUM(0)</f>
        <v>0</v>
      </c>
      <c r="E25" s="4"/>
      <c r="F25" s="12">
        <f>IF(D$12=0,0,D25/D$12)</f>
        <v>0</v>
      </c>
      <c r="G25" s="4"/>
      <c r="H25" s="4">
        <f>SUM(0)</f>
        <v>0</v>
      </c>
      <c r="I25" s="4"/>
      <c r="J25" s="12">
        <f>IF(H$12=0,0,H25/H$12)</f>
        <v>0</v>
      </c>
      <c r="K25" s="4"/>
      <c r="L25" s="4">
        <f>+D25-H25</f>
        <v>0</v>
      </c>
      <c r="M25" s="4"/>
      <c r="N25" s="12">
        <f>IF(H25=0,0,L25/H25)</f>
        <v>0</v>
      </c>
      <c r="O25" s="10"/>
      <c r="P25" s="4">
        <f>SUM(0)</f>
        <v>0</v>
      </c>
      <c r="Q25" s="4"/>
      <c r="R25" s="12">
        <f>IF(P$12=0,0,P25/P$12)</f>
        <v>0</v>
      </c>
      <c r="S25" s="4"/>
      <c r="T25" s="4">
        <f>SUM(0)</f>
        <v>0</v>
      </c>
      <c r="U25" s="4"/>
      <c r="V25" s="12">
        <f>IF(T$12=0,0,T25/T$12)</f>
        <v>0</v>
      </c>
      <c r="W25" s="4"/>
      <c r="X25" s="4">
        <f>+P25-T25</f>
        <v>0</v>
      </c>
      <c r="Y25" s="4"/>
      <c r="Z25" s="12">
        <f>IF(T25=0,0,X25/T25)</f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>
        <f>+D17-D19+D25</f>
        <v>-1000.91</v>
      </c>
      <c r="E27" s="13"/>
      <c r="F27" s="20">
        <f>IF(D$12=0,0,D27/D$12)</f>
        <v>0</v>
      </c>
      <c r="G27" s="13"/>
      <c r="H27" s="21">
        <f>+H17-H19+H25</f>
        <v>-1001</v>
      </c>
      <c r="I27" s="13"/>
      <c r="J27" s="20">
        <f>IF(H$12=0,0,H27/H$12)</f>
        <v>0</v>
      </c>
      <c r="K27" s="16"/>
      <c r="L27" s="21">
        <f>+D27-H27</f>
        <v>9.0000000000031832E-2</v>
      </c>
      <c r="M27" s="16"/>
      <c r="N27" s="20">
        <f>IF(H27=0,0,L27/H27)</f>
        <v>-8.9910089910121704E-5</v>
      </c>
      <c r="O27" s="26"/>
      <c r="P27" s="21">
        <f>+P17-P19+P25</f>
        <v>-1968</v>
      </c>
      <c r="Q27" s="13"/>
      <c r="R27" s="20">
        <f>IF(P$12=0,0,P27/P$12)</f>
        <v>0</v>
      </c>
      <c r="S27" s="13"/>
      <c r="T27" s="21">
        <f>+T17-T19+T25</f>
        <v>-3003</v>
      </c>
      <c r="U27" s="13"/>
      <c r="V27" s="20">
        <f>IF(T$12=0,0,T27/T$12)</f>
        <v>0</v>
      </c>
      <c r="W27" s="16"/>
      <c r="X27" s="21">
        <f>+P27-T27</f>
        <v>1035</v>
      </c>
      <c r="Y27" s="16"/>
      <c r="Z27" s="20">
        <f>IF(T27=0,0,X27/T27)</f>
        <v>-0.34465534465534464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/>
      <c r="E29" s="4"/>
      <c r="F29" s="12">
        <f>IF(D$12=0,0,D29/D$12)</f>
        <v>0</v>
      </c>
      <c r="G29" s="4"/>
      <c r="H29" s="4"/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/>
      <c r="Q29" s="4"/>
      <c r="R29" s="12">
        <f>IF(P$12=0,0,P29/P$12)</f>
        <v>0</v>
      </c>
      <c r="S29" s="4"/>
      <c r="T29" s="4"/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>
        <f>+D27-D29</f>
        <v>-1000.91</v>
      </c>
      <c r="E31" s="13"/>
      <c r="F31" s="31">
        <f>IF(D$12=0,0,D31/D$12)</f>
        <v>0</v>
      </c>
      <c r="G31" s="13"/>
      <c r="H31" s="33">
        <f>+H27-H29</f>
        <v>-1001</v>
      </c>
      <c r="I31" s="13"/>
      <c r="J31" s="31">
        <f>IF(H$12=0,0,H31/H$12)</f>
        <v>0</v>
      </c>
      <c r="K31" s="16"/>
      <c r="L31" s="33">
        <f>D31-H31</f>
        <v>9.0000000000031832E-2</v>
      </c>
      <c r="M31" s="16"/>
      <c r="N31" s="31">
        <f>IF(H31=0,0,L31/H31)</f>
        <v>-8.9910089910121704E-5</v>
      </c>
      <c r="O31" s="26"/>
      <c r="P31" s="33">
        <f>+P27-P29</f>
        <v>-1968</v>
      </c>
      <c r="Q31" s="13"/>
      <c r="R31" s="31">
        <f>IF(P$12=0,0,P31/P$12)</f>
        <v>0</v>
      </c>
      <c r="S31" s="13"/>
      <c r="T31" s="33">
        <f>+T27-T29</f>
        <v>-3003</v>
      </c>
      <c r="U31" s="13"/>
      <c r="V31" s="31">
        <f>IF(T$12=0,0,T31/T$12)</f>
        <v>0</v>
      </c>
      <c r="W31" s="16"/>
      <c r="X31" s="33">
        <f>P31-T31</f>
        <v>1035</v>
      </c>
      <c r="Y31" s="16"/>
      <c r="Z31" s="31">
        <f>IF(T31=0,0,X31/T31)</f>
        <v>-0.34465534465534464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5" t="s">
        <v>294</v>
      </c>
      <c r="C34" s="25"/>
      <c r="D34" s="35">
        <f>SUM(D31:D33)</f>
        <v>-1000.91</v>
      </c>
      <c r="E34" s="13"/>
      <c r="F34" s="34">
        <f>IF(D$12=0,0,D34/D$12)</f>
        <v>0</v>
      </c>
      <c r="G34" s="13"/>
      <c r="H34" s="35">
        <f>SUM(H31:H33)</f>
        <v>-1001</v>
      </c>
      <c r="I34" s="13"/>
      <c r="J34" s="34">
        <f>IF(H$12=0,0,H34/H$12)</f>
        <v>0</v>
      </c>
      <c r="K34" s="16"/>
      <c r="L34" s="35">
        <f>+D34-H34</f>
        <v>9.0000000000031832E-2</v>
      </c>
      <c r="M34" s="16"/>
      <c r="N34" s="34">
        <f>IF(H34=0,0,L34/H34)</f>
        <v>-8.9910089910121704E-5</v>
      </c>
      <c r="O34" s="26"/>
      <c r="P34" s="35">
        <f>SUM(P31:P33)</f>
        <v>-1968</v>
      </c>
      <c r="Q34" s="13"/>
      <c r="R34" s="34">
        <f>IF(P$12=0,0,P34/P$12)</f>
        <v>0</v>
      </c>
      <c r="S34" s="13"/>
      <c r="T34" s="35">
        <f>SUM(T31:T33)</f>
        <v>-3003</v>
      </c>
      <c r="U34" s="13"/>
      <c r="V34" s="34">
        <f>IF(T$12=0,0,T34/T$12)</f>
        <v>0</v>
      </c>
      <c r="W34" s="16"/>
      <c r="X34" s="35">
        <f>+P34-T34</f>
        <v>1035</v>
      </c>
      <c r="Y34" s="16"/>
      <c r="Z34" s="34">
        <f>IF(T34=0,0,X34/T34)</f>
        <v>-0.34465534465534464</v>
      </c>
    </row>
    <row r="35" spans="1:26" ht="15.75" thickTop="1" x14ac:dyDescent="0.25">
      <c r="A35" s="9"/>
      <c r="C35" s="9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6" x14ac:dyDescent="0.25">
      <c r="A36" s="9"/>
      <c r="B36" s="61">
        <v>44481.978956793981</v>
      </c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25">
      <c r="A37" s="9"/>
      <c r="B37" s="56" t="s">
        <v>56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4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","455", " - ", "Vending (old)")</f>
        <v>Department 455 - Vending (old)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108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295</v>
      </c>
      <c r="C18" s="10"/>
      <c r="D18" s="22">
        <f>SUM(0)</f>
        <v>0</v>
      </c>
      <c r="E18" s="22"/>
      <c r="F18" s="32">
        <f>IF(D$12=0,0,D18/D$12)</f>
        <v>0</v>
      </c>
      <c r="G18" s="22"/>
      <c r="H18" s="22">
        <f>SUM(0)</f>
        <v>0</v>
      </c>
      <c r="I18" s="22"/>
      <c r="J18" s="32">
        <f>IF(H$12=0,0,H18/H$12)</f>
        <v>0</v>
      </c>
      <c r="K18" s="4"/>
      <c r="L18" s="22">
        <f>+D18-H18</f>
        <v>0</v>
      </c>
      <c r="M18" s="4"/>
      <c r="N18" s="32">
        <f>IF(H18=0,0,L18/H18)</f>
        <v>0</v>
      </c>
      <c r="O18" s="10"/>
      <c r="P18" s="22">
        <f>SUM(0)</f>
        <v>0</v>
      </c>
      <c r="Q18" s="22"/>
      <c r="R18" s="32">
        <f>IF(P$12=0,0,P18/P$12)</f>
        <v>0</v>
      </c>
      <c r="S18" s="22"/>
      <c r="T18" s="22">
        <f>SUM(0)</f>
        <v>0</v>
      </c>
      <c r="U18" s="22"/>
      <c r="V18" s="32">
        <f>IF(T$12=0,0,T18/T$12)</f>
        <v>0</v>
      </c>
      <c r="W18" s="4"/>
      <c r="X18" s="22">
        <f>+P18-T18</f>
        <v>0</v>
      </c>
      <c r="Y18" s="4"/>
      <c r="Z18" s="32">
        <f>IF(T18=0,0,X18/T18)</f>
        <v>0</v>
      </c>
    </row>
    <row r="19" spans="1:26" s="58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collapsed="1" x14ac:dyDescent="0.25">
      <c r="A20" s="10"/>
      <c r="B20" s="26" t="s">
        <v>293</v>
      </c>
      <c r="C20" s="10"/>
      <c r="D20" s="4">
        <f>SUM(OSRRefD25x_0)</f>
        <v>-11743.630000000001</v>
      </c>
      <c r="E20" s="4"/>
      <c r="F20" s="12">
        <f t="shared" ref="F20:F22" si="0">IF(D$12=0,0,D20/D$12)</f>
        <v>0</v>
      </c>
      <c r="G20" s="4"/>
      <c r="H20" s="4">
        <f>SUM(OSRRefH25x_0)</f>
        <v>0</v>
      </c>
      <c r="I20" s="4"/>
      <c r="J20" s="12">
        <f t="shared" ref="J20:J22" si="1">IF(H$12=0,0,H20/H$12)</f>
        <v>0</v>
      </c>
      <c r="K20" s="4"/>
      <c r="L20" s="4">
        <f t="shared" ref="L20:L22" si="2">+D20-H20</f>
        <v>-11743.630000000001</v>
      </c>
      <c r="M20" s="4"/>
      <c r="N20" s="12">
        <f t="shared" ref="N20:N22" si="3">IF(H20=0,0,L20/H20)</f>
        <v>0</v>
      </c>
      <c r="O20" s="10"/>
      <c r="P20" s="4">
        <f>SUM(OSRRefP25x_0)</f>
        <v>0</v>
      </c>
      <c r="Q20" s="4"/>
      <c r="R20" s="12">
        <f t="shared" ref="R20:R22" si="4">IF(P$12=0,0,P20/P$12)</f>
        <v>0</v>
      </c>
      <c r="S20" s="4"/>
      <c r="T20" s="4">
        <f>SUM(OSRRefT25x_0)</f>
        <v>0</v>
      </c>
      <c r="U20" s="4"/>
      <c r="V20" s="12">
        <f t="shared" ref="V20:V22" si="5">IF(T$12=0,0,T20/T$12)</f>
        <v>0</v>
      </c>
      <c r="W20" s="4"/>
      <c r="X20" s="4">
        <f t="shared" ref="X20:X22" si="6">+P20-T20</f>
        <v>0</v>
      </c>
      <c r="Y20" s="4"/>
      <c r="Z20" s="12">
        <f t="shared" ref="Z20:Z22" si="7">IF(T20=0,0,X20/T20)</f>
        <v>0</v>
      </c>
    </row>
    <row r="21" spans="1:26" s="24" customFormat="1" hidden="1" outlineLevel="1" x14ac:dyDescent="0.25">
      <c r="A21" s="44"/>
      <c r="B21" s="11" t="str">
        <f>CONCATENATE("          ", "9160", " - ", "MISC. INCOME")</f>
        <v xml:space="preserve">          9160 - MISC. INCOME</v>
      </c>
      <c r="C21" s="11"/>
      <c r="D21" s="2">
        <f>-11238.12</f>
        <v>-11238.12</v>
      </c>
      <c r="E21" s="2"/>
      <c r="F21" s="19">
        <f t="shared" si="0"/>
        <v>0</v>
      </c>
      <c r="G21" s="2"/>
      <c r="H21" s="2"/>
      <c r="I21" s="2"/>
      <c r="J21" s="19">
        <f t="shared" si="1"/>
        <v>0</v>
      </c>
      <c r="K21" s="2"/>
      <c r="L21" s="2">
        <f t="shared" si="2"/>
        <v>-11238.12</v>
      </c>
      <c r="M21" s="2"/>
      <c r="N21" s="19">
        <f t="shared" si="3"/>
        <v>0</v>
      </c>
      <c r="O21" s="11"/>
      <c r="P21" s="2">
        <f t="shared" ref="P21:P22" si="8">0</f>
        <v>0</v>
      </c>
      <c r="Q21" s="2"/>
      <c r="R21" s="19">
        <f t="shared" si="4"/>
        <v>0</v>
      </c>
      <c r="S21" s="2"/>
      <c r="T21" s="2"/>
      <c r="U21" s="2"/>
      <c r="V21" s="19">
        <f t="shared" si="5"/>
        <v>0</v>
      </c>
      <c r="W21" s="2"/>
      <c r="X21" s="2">
        <f t="shared" si="6"/>
        <v>0</v>
      </c>
      <c r="Y21" s="2"/>
      <c r="Z21" s="19">
        <f t="shared" si="7"/>
        <v>0</v>
      </c>
    </row>
    <row r="22" spans="1:26" s="24" customFormat="1" hidden="1" outlineLevel="1" x14ac:dyDescent="0.25">
      <c r="A22" s="44"/>
      <c r="B22" s="11" t="str">
        <f>CONCATENATE("          ", "9165", " - ", "OTHER INCOME")</f>
        <v xml:space="preserve">          9165 - OTHER INCOME</v>
      </c>
      <c r="C22" s="11"/>
      <c r="D22" s="2">
        <f>-505.51</f>
        <v>-505.51</v>
      </c>
      <c r="E22" s="2"/>
      <c r="F22" s="19">
        <f t="shared" si="0"/>
        <v>0</v>
      </c>
      <c r="G22" s="2"/>
      <c r="H22" s="2"/>
      <c r="I22" s="2"/>
      <c r="J22" s="19">
        <f t="shared" si="1"/>
        <v>0</v>
      </c>
      <c r="K22" s="2"/>
      <c r="L22" s="2">
        <f t="shared" si="2"/>
        <v>-505.51</v>
      </c>
      <c r="M22" s="2"/>
      <c r="N22" s="19">
        <f t="shared" si="3"/>
        <v>0</v>
      </c>
      <c r="O22" s="11"/>
      <c r="P22" s="2">
        <f t="shared" si="8"/>
        <v>0</v>
      </c>
      <c r="Q22" s="2"/>
      <c r="R22" s="19">
        <f t="shared" si="4"/>
        <v>0</v>
      </c>
      <c r="S22" s="2"/>
      <c r="T22" s="2"/>
      <c r="U22" s="2"/>
      <c r="V22" s="19">
        <f t="shared" si="5"/>
        <v>0</v>
      </c>
      <c r="W22" s="2"/>
      <c r="X22" s="2">
        <f t="shared" si="6"/>
        <v>0</v>
      </c>
      <c r="Y22" s="2"/>
      <c r="Z22" s="19">
        <f t="shared" si="7"/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5" t="s">
        <v>277</v>
      </c>
      <c r="C24" s="25"/>
      <c r="D24" s="21">
        <f>+D16-D18+D20</f>
        <v>-11743.630000000001</v>
      </c>
      <c r="E24" s="13"/>
      <c r="F24" s="20">
        <f>IF(D$12=0,0,D24/D$12)</f>
        <v>0</v>
      </c>
      <c r="G24" s="13"/>
      <c r="H24" s="21">
        <f>+H16-H18+H20</f>
        <v>0</v>
      </c>
      <c r="I24" s="13"/>
      <c r="J24" s="20">
        <f>IF(H$12=0,0,H24/H$12)</f>
        <v>0</v>
      </c>
      <c r="K24" s="16"/>
      <c r="L24" s="21">
        <f>+D24-H24</f>
        <v>-11743.630000000001</v>
      </c>
      <c r="M24" s="16"/>
      <c r="N24" s="20">
        <f>IF(H24=0,0,L24/H24)</f>
        <v>0</v>
      </c>
      <c r="O24" s="26"/>
      <c r="P24" s="21">
        <f>+P16-P18+P20</f>
        <v>0</v>
      </c>
      <c r="Q24" s="13"/>
      <c r="R24" s="20">
        <f>IF(P$12=0,0,P24/P$12)</f>
        <v>0</v>
      </c>
      <c r="S24" s="13"/>
      <c r="T24" s="21">
        <f>+T16-T18+T20</f>
        <v>0</v>
      </c>
      <c r="U24" s="13"/>
      <c r="V24" s="20">
        <f>IF(T$12=0,0,T24/T$12)</f>
        <v>0</v>
      </c>
      <c r="W24" s="16"/>
      <c r="X24" s="21">
        <f>+P24-T24</f>
        <v>0</v>
      </c>
      <c r="Y24" s="16"/>
      <c r="Z24" s="20">
        <f>IF(T24=0,0,X24/T24)</f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2"/>
      <c r="B26" s="10" t="s">
        <v>128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5" t="s">
        <v>126</v>
      </c>
      <c r="C28" s="25"/>
      <c r="D28" s="33">
        <f>+D24-D26</f>
        <v>-11743.630000000001</v>
      </c>
      <c r="E28" s="13"/>
      <c r="F28" s="31">
        <f>IF(D$12=0,0,D28/D$12)</f>
        <v>0</v>
      </c>
      <c r="G28" s="13"/>
      <c r="H28" s="33">
        <f>+H24-H26</f>
        <v>0</v>
      </c>
      <c r="I28" s="13"/>
      <c r="J28" s="31">
        <f>IF(H$12=0,0,H28/H$12)</f>
        <v>0</v>
      </c>
      <c r="K28" s="16"/>
      <c r="L28" s="33">
        <f>D28-H28</f>
        <v>-11743.630000000001</v>
      </c>
      <c r="M28" s="16"/>
      <c r="N28" s="31">
        <f>IF(H28=0,0,L28/H28)</f>
        <v>0</v>
      </c>
      <c r="O28" s="26"/>
      <c r="P28" s="33">
        <f>+P24-P26</f>
        <v>0</v>
      </c>
      <c r="Q28" s="13"/>
      <c r="R28" s="31">
        <f>IF(P$12=0,0,P28/P$12)</f>
        <v>0</v>
      </c>
      <c r="S28" s="13"/>
      <c r="T28" s="33">
        <f>+T24-T26</f>
        <v>0</v>
      </c>
      <c r="U28" s="13"/>
      <c r="V28" s="31">
        <f>IF(T$12=0,0,T28/T$12)</f>
        <v>0</v>
      </c>
      <c r="W28" s="16"/>
      <c r="X28" s="33">
        <f>P28-T28</f>
        <v>0</v>
      </c>
      <c r="Y28" s="16"/>
      <c r="Z28" s="31">
        <f>IF(T28=0,0,X28/T28)</f>
        <v>0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294</v>
      </c>
      <c r="C31" s="25"/>
      <c r="D31" s="35">
        <f>SUM(D28:D30)</f>
        <v>-11743.630000000001</v>
      </c>
      <c r="E31" s="13"/>
      <c r="F31" s="34">
        <f>IF(D$12=0,0,D31/D$12)</f>
        <v>0</v>
      </c>
      <c r="G31" s="13"/>
      <c r="H31" s="35">
        <f>SUM(H28:H30)</f>
        <v>0</v>
      </c>
      <c r="I31" s="13"/>
      <c r="J31" s="34">
        <f>IF(H$12=0,0,H31/H$12)</f>
        <v>0</v>
      </c>
      <c r="K31" s="16"/>
      <c r="L31" s="35">
        <f>+D31-H31</f>
        <v>-11743.630000000001</v>
      </c>
      <c r="M31" s="16"/>
      <c r="N31" s="34">
        <f>IF(H31=0,0,L31/H31)</f>
        <v>0</v>
      </c>
      <c r="O31" s="26"/>
      <c r="P31" s="35">
        <f>SUM(P28:P30)</f>
        <v>0</v>
      </c>
      <c r="Q31" s="13"/>
      <c r="R31" s="34">
        <f>IF(P$12=0,0,P31/P$12)</f>
        <v>0</v>
      </c>
      <c r="S31" s="13"/>
      <c r="T31" s="35">
        <f>SUM(T28:T30)</f>
        <v>0</v>
      </c>
      <c r="U31" s="13"/>
      <c r="V31" s="34">
        <f>IF(T$12=0,0,T31/T$12)</f>
        <v>0</v>
      </c>
      <c r="W31" s="16"/>
      <c r="X31" s="35">
        <f>+P31-T31</f>
        <v>0</v>
      </c>
      <c r="Y31" s="16"/>
      <c r="Z31" s="34">
        <f>IF(T31=0,0,X31/T31)</f>
        <v>0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61">
        <v>44481.978956793981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6" t="s">
        <v>56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4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  <outlinePr summaryBelow="0" summaryRight="0"/>
  </sheetPr>
  <dimension ref="A2:Z10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183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1426594.0100000002</v>
      </c>
      <c r="E12" s="4"/>
      <c r="F12" s="12"/>
      <c r="G12" s="4"/>
      <c r="H12" s="4">
        <f>SUM(OSRRefH13x_0)</f>
        <v>1128960</v>
      </c>
      <c r="I12" s="4"/>
      <c r="J12" s="12"/>
      <c r="K12" s="4"/>
      <c r="L12" s="4">
        <f t="shared" ref="L12:L16" si="0">+D12-H12</f>
        <v>297634.01000000024</v>
      </c>
      <c r="M12" s="4"/>
      <c r="N12" s="12">
        <f t="shared" ref="N12:N16" si="1">IF(H12=0,0,L12/H12)</f>
        <v>0.26363556724773263</v>
      </c>
      <c r="O12" s="10"/>
      <c r="P12" s="4">
        <f>SUM(OSRRefP13x_0)</f>
        <v>1932805.57</v>
      </c>
      <c r="Q12" s="4"/>
      <c r="R12" s="12"/>
      <c r="S12" s="4"/>
      <c r="T12" s="4">
        <f>SUM(OSRRefT13x_0)</f>
        <v>1411200</v>
      </c>
      <c r="U12" s="4"/>
      <c r="V12" s="12"/>
      <c r="W12" s="4"/>
      <c r="X12" s="4">
        <f t="shared" ref="X12:X16" si="2">+P12-T12</f>
        <v>521605.57000000007</v>
      </c>
      <c r="Y12" s="4"/>
      <c r="Z12" s="12">
        <f t="shared" ref="Z12:Z16" si="3">IF(T12=0,0,X12/T12)</f>
        <v>0.36961845946712024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--644.1</f>
        <v>644.1</v>
      </c>
      <c r="E13" s="2"/>
      <c r="F13" s="19"/>
      <c r="G13" s="2"/>
      <c r="H13" s="2"/>
      <c r="I13" s="2"/>
      <c r="J13" s="19"/>
      <c r="K13" s="2"/>
      <c r="L13" s="2">
        <f t="shared" si="0"/>
        <v>644.1</v>
      </c>
      <c r="M13" s="2"/>
      <c r="N13" s="19">
        <f t="shared" si="1"/>
        <v>0</v>
      </c>
      <c r="O13" s="11"/>
      <c r="P13" s="2">
        <f>--1134.93</f>
        <v>1134.93</v>
      </c>
      <c r="Q13" s="2"/>
      <c r="R13" s="19"/>
      <c r="S13" s="2"/>
      <c r="T13" s="2"/>
      <c r="U13" s="2"/>
      <c r="V13" s="19"/>
      <c r="W13" s="2"/>
      <c r="X13" s="2">
        <f t="shared" si="2"/>
        <v>1134.93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1128960</v>
      </c>
      <c r="I14" s="2"/>
      <c r="J14" s="19"/>
      <c r="K14" s="2"/>
      <c r="L14" s="2">
        <f t="shared" si="0"/>
        <v>-1128960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1411200</v>
      </c>
      <c r="U14" s="2"/>
      <c r="V14" s="19"/>
      <c r="W14" s="2"/>
      <c r="X14" s="2">
        <f t="shared" si="2"/>
        <v>-1411200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--1412740.6</f>
        <v>1412740.6</v>
      </c>
      <c r="E15" s="2"/>
      <c r="F15" s="19"/>
      <c r="G15" s="2"/>
      <c r="H15" s="2"/>
      <c r="I15" s="2"/>
      <c r="J15" s="19"/>
      <c r="K15" s="2"/>
      <c r="L15" s="2">
        <f t="shared" si="0"/>
        <v>1412740.6</v>
      </c>
      <c r="M15" s="2"/>
      <c r="N15" s="19">
        <f t="shared" si="1"/>
        <v>0</v>
      </c>
      <c r="O15" s="11"/>
      <c r="P15" s="2">
        <f>--1899393.31</f>
        <v>1899393.31</v>
      </c>
      <c r="Q15" s="2"/>
      <c r="R15" s="19"/>
      <c r="S15" s="2"/>
      <c r="T15" s="2"/>
      <c r="U15" s="2"/>
      <c r="V15" s="19"/>
      <c r="W15" s="2"/>
      <c r="X15" s="2">
        <f t="shared" si="2"/>
        <v>1899393.31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--13209.31</f>
        <v>13209.31</v>
      </c>
      <c r="E16" s="2"/>
      <c r="F16" s="19"/>
      <c r="G16" s="2"/>
      <c r="H16" s="2"/>
      <c r="I16" s="2"/>
      <c r="J16" s="19"/>
      <c r="K16" s="2"/>
      <c r="L16" s="2">
        <f t="shared" si="0"/>
        <v>13209.31</v>
      </c>
      <c r="M16" s="2"/>
      <c r="N16" s="19">
        <f t="shared" si="1"/>
        <v>0</v>
      </c>
      <c r="O16" s="11"/>
      <c r="P16" s="2">
        <f>--32277.33</f>
        <v>32277.33</v>
      </c>
      <c r="Q16" s="2"/>
      <c r="R16" s="19"/>
      <c r="S16" s="2"/>
      <c r="T16" s="2"/>
      <c r="U16" s="2"/>
      <c r="V16" s="19"/>
      <c r="W16" s="2"/>
      <c r="X16" s="2">
        <f t="shared" si="2"/>
        <v>32277.33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257</v>
      </c>
      <c r="C18" s="10"/>
      <c r="D18" s="4">
        <f>SUM(OSRRefD16x_0)</f>
        <v>356896.83</v>
      </c>
      <c r="E18" s="4"/>
      <c r="F18" s="12">
        <f t="shared" ref="F18:F21" si="4">IF(D$12=0,0,D18/D$12)</f>
        <v>0.25017407019674781</v>
      </c>
      <c r="G18" s="4"/>
      <c r="H18" s="4">
        <f>SUM(OSRRefH16x_0)</f>
        <v>305602</v>
      </c>
      <c r="I18" s="4"/>
      <c r="J18" s="12">
        <f t="shared" ref="J18:J21" si="5">IF(H$12=0,0,H18/H$12)</f>
        <v>0.27069338151927436</v>
      </c>
      <c r="K18" s="4"/>
      <c r="L18" s="4">
        <f t="shared" ref="L18:L21" si="6">+D18-H18</f>
        <v>51294.830000000016</v>
      </c>
      <c r="M18" s="4"/>
      <c r="N18" s="12">
        <f t="shared" ref="N18:N21" si="7">IF(H18=0,0,L18/H18)</f>
        <v>0.16784847612253853</v>
      </c>
      <c r="O18" s="10"/>
      <c r="P18" s="4">
        <f>SUM(OSRRefP16x_0)</f>
        <v>549233.06999999995</v>
      </c>
      <c r="Q18" s="4"/>
      <c r="R18" s="12">
        <f t="shared" ref="R18:R21" si="8">IF(P$12=0,0,P18/P$12)</f>
        <v>0.28416364197460375</v>
      </c>
      <c r="S18" s="4"/>
      <c r="T18" s="4">
        <f>SUM(OSRRefT16x_0)</f>
        <v>449746</v>
      </c>
      <c r="U18" s="4"/>
      <c r="V18" s="12">
        <f t="shared" ref="V18:V21" si="9">IF(T$12=0,0,T18/T$12)</f>
        <v>0.31869756235827662</v>
      </c>
      <c r="W18" s="4"/>
      <c r="X18" s="4">
        <f t="shared" ref="X18:X21" si="10">+P18-T18</f>
        <v>99487.069999999949</v>
      </c>
      <c r="Y18" s="4"/>
      <c r="Z18" s="12">
        <f t="shared" ref="Z18:Z21" si="11">IF(T18=0,0,X18/T18)</f>
        <v>0.22120723697375841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305602</v>
      </c>
      <c r="I19" s="2"/>
      <c r="J19" s="19">
        <f t="shared" si="5"/>
        <v>0.27069338151927436</v>
      </c>
      <c r="K19" s="2"/>
      <c r="L19" s="2">
        <f t="shared" si="6"/>
        <v>-305602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449746</v>
      </c>
      <c r="U19" s="2"/>
      <c r="V19" s="19">
        <f t="shared" si="9"/>
        <v>0.31869756235827662</v>
      </c>
      <c r="W19" s="2"/>
      <c r="X19" s="2">
        <f t="shared" si="10"/>
        <v>-449746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370814.83</v>
      </c>
      <c r="E20" s="2"/>
      <c r="F20" s="19">
        <f t="shared" si="4"/>
        <v>0.25993017452807049</v>
      </c>
      <c r="G20" s="2"/>
      <c r="H20" s="2"/>
      <c r="I20" s="2"/>
      <c r="J20" s="19">
        <f t="shared" si="5"/>
        <v>0</v>
      </c>
      <c r="K20" s="2"/>
      <c r="L20" s="2">
        <f t="shared" si="6"/>
        <v>370814.83</v>
      </c>
      <c r="M20" s="2"/>
      <c r="N20" s="19">
        <f t="shared" si="7"/>
        <v>0</v>
      </c>
      <c r="O20" s="11"/>
      <c r="P20" s="2">
        <v>608413.06999999995</v>
      </c>
      <c r="Q20" s="2"/>
      <c r="R20" s="19">
        <f t="shared" si="8"/>
        <v>0.31478234512745112</v>
      </c>
      <c r="S20" s="2"/>
      <c r="T20" s="2"/>
      <c r="U20" s="2"/>
      <c r="V20" s="19">
        <f t="shared" si="9"/>
        <v>0</v>
      </c>
      <c r="W20" s="2"/>
      <c r="X20" s="2">
        <f t="shared" si="10"/>
        <v>608413.06999999995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-13918</v>
      </c>
      <c r="E21" s="2"/>
      <c r="F21" s="19">
        <f t="shared" si="4"/>
        <v>-9.7561043313226844E-3</v>
      </c>
      <c r="G21" s="2"/>
      <c r="H21" s="2"/>
      <c r="I21" s="2"/>
      <c r="J21" s="19">
        <f t="shared" si="5"/>
        <v>0</v>
      </c>
      <c r="K21" s="2"/>
      <c r="L21" s="2">
        <f t="shared" si="6"/>
        <v>-13918</v>
      </c>
      <c r="M21" s="2"/>
      <c r="N21" s="19">
        <f t="shared" si="7"/>
        <v>0</v>
      </c>
      <c r="O21" s="11"/>
      <c r="P21" s="2">
        <v>-59180</v>
      </c>
      <c r="Q21" s="2"/>
      <c r="R21" s="19">
        <f t="shared" si="8"/>
        <v>-3.0618703152847392E-2</v>
      </c>
      <c r="S21" s="2"/>
      <c r="T21" s="2"/>
      <c r="U21" s="2"/>
      <c r="V21" s="19">
        <f t="shared" si="9"/>
        <v>0</v>
      </c>
      <c r="W21" s="2"/>
      <c r="X21" s="2">
        <f t="shared" si="10"/>
        <v>-59180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108</v>
      </c>
      <c r="C23" s="25"/>
      <c r="D23" s="21">
        <f>D12-D18</f>
        <v>1069697.1800000002</v>
      </c>
      <c r="E23" s="13"/>
      <c r="F23" s="20">
        <f>IF(D$12=0,0,D23/D$12)</f>
        <v>0.74982592980325213</v>
      </c>
      <c r="G23" s="13"/>
      <c r="H23" s="21">
        <f>H12-H18</f>
        <v>823358</v>
      </c>
      <c r="I23" s="13"/>
      <c r="J23" s="20">
        <f>IF(H$12=0,0,H23/H$12)</f>
        <v>0.72930661848072564</v>
      </c>
      <c r="K23" s="16"/>
      <c r="L23" s="21">
        <f>+D23-H23</f>
        <v>246339.18000000017</v>
      </c>
      <c r="M23" s="16"/>
      <c r="N23" s="20">
        <f>IF(H23=0,0,L23/H23)</f>
        <v>0.29918842107564408</v>
      </c>
      <c r="O23" s="26"/>
      <c r="P23" s="21">
        <f>P12-P18</f>
        <v>1383572.5</v>
      </c>
      <c r="Q23" s="13"/>
      <c r="R23" s="20">
        <f>IF(P$12=0,0,P23/P$12)</f>
        <v>0.71583635802539614</v>
      </c>
      <c r="S23" s="13"/>
      <c r="T23" s="21">
        <f>T12-T18</f>
        <v>961454</v>
      </c>
      <c r="U23" s="13"/>
      <c r="V23" s="20">
        <f>IF(T$12=0,0,T23/T$12)</f>
        <v>0.68130243764172338</v>
      </c>
      <c r="W23" s="16"/>
      <c r="X23" s="21">
        <f>+P23-T23</f>
        <v>422118.5</v>
      </c>
      <c r="Y23" s="16"/>
      <c r="Z23" s="20">
        <f>IF(T23=0,0,X23/T23)</f>
        <v>0.43904180543218918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295</v>
      </c>
      <c r="C25" s="10"/>
      <c r="D25" s="22">
        <f>SUM(OSRRefD22x_0)</f>
        <v>499575.26999999996</v>
      </c>
      <c r="E25" s="22"/>
      <c r="F25" s="32">
        <f t="shared" ref="F25:F36" si="12">IF(D$12=0,0,D25/D$12)</f>
        <v>0.35018741596987352</v>
      </c>
      <c r="G25" s="22"/>
      <c r="H25" s="22">
        <f>SUM(OSRRefH22x_0)</f>
        <v>556968.83232506597</v>
      </c>
      <c r="I25" s="22"/>
      <c r="J25" s="32">
        <f t="shared" ref="J25:J36" si="13">IF(H$12=0,0,H25/H$12)</f>
        <v>0.4933468256847594</v>
      </c>
      <c r="K25" s="4"/>
      <c r="L25" s="22">
        <f t="shared" ref="L25:L36" si="14">+D25-H25</f>
        <v>-57393.562325066014</v>
      </c>
      <c r="M25" s="4"/>
      <c r="N25" s="32">
        <f t="shared" ref="N25:N36" si="15">IF(H25=0,0,L25/H25)</f>
        <v>-0.1030462729583568</v>
      </c>
      <c r="O25" s="10"/>
      <c r="P25" s="22">
        <f>SUM(OSRRefP22x_0)</f>
        <v>1007890.79</v>
      </c>
      <c r="Q25" s="22"/>
      <c r="R25" s="32">
        <f t="shared" ref="R25:R36" si="16">IF(P$12=0,0,P25/P$12)</f>
        <v>0.5214651725160333</v>
      </c>
      <c r="S25" s="22"/>
      <c r="T25" s="22">
        <f>SUM(OSRRefT22x_0)</f>
        <v>1311942.5295564649</v>
      </c>
      <c r="U25" s="22"/>
      <c r="V25" s="32">
        <f t="shared" ref="V25:V36" si="17">IF(T$12=0,0,T25/T$12)</f>
        <v>0.9296644908988555</v>
      </c>
      <c r="W25" s="4"/>
      <c r="X25" s="22">
        <f t="shared" ref="X25:X36" si="18">+P25-T25</f>
        <v>-304051.73955646483</v>
      </c>
      <c r="Y25" s="4"/>
      <c r="Z25" s="32">
        <f t="shared" ref="Z25:Z36" si="19">IF(T25=0,0,X25/T25)</f>
        <v>-0.23175690451871939</v>
      </c>
    </row>
    <row r="26" spans="1:26" s="28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87088.51999999999</v>
      </c>
      <c r="E26" s="1"/>
      <c r="F26" s="5">
        <f t="shared" si="12"/>
        <v>6.1046464088265709E-2</v>
      </c>
      <c r="G26" s="1"/>
      <c r="H26" s="1">
        <f>SUM(OSRRefH22_0x_0)</f>
        <v>108046.49037121993</v>
      </c>
      <c r="I26" s="1"/>
      <c r="J26" s="5">
        <f t="shared" si="13"/>
        <v>9.5704445127568677E-2</v>
      </c>
      <c r="K26" s="1"/>
      <c r="L26" s="1">
        <f t="shared" si="14"/>
        <v>-20957.970371219941</v>
      </c>
      <c r="M26" s="1"/>
      <c r="N26" s="5">
        <f t="shared" si="15"/>
        <v>-0.19397178287988576</v>
      </c>
      <c r="O26" s="14"/>
      <c r="P26" s="1">
        <f>SUM(OSRRefP22_0x_0)</f>
        <v>230858.14999999997</v>
      </c>
      <c r="Q26" s="1"/>
      <c r="R26" s="5">
        <f t="shared" si="16"/>
        <v>0.11944199332993435</v>
      </c>
      <c r="S26" s="1"/>
      <c r="T26" s="1">
        <f>SUM(OSRRefT22_0x_0)</f>
        <v>329227.82320646493</v>
      </c>
      <c r="U26" s="1"/>
      <c r="V26" s="5">
        <f t="shared" si="17"/>
        <v>0.23329635998190543</v>
      </c>
      <c r="W26" s="1"/>
      <c r="X26" s="1">
        <f t="shared" si="18"/>
        <v>-98369.67320646497</v>
      </c>
      <c r="Y26" s="1"/>
      <c r="Z26" s="5">
        <f t="shared" si="19"/>
        <v>-0.2987890642060817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7">
        <v>13826.34</v>
      </c>
      <c r="E27" s="2"/>
      <c r="F27" s="6">
        <f t="shared" si="12"/>
        <v>9.6918533956272517E-3</v>
      </c>
      <c r="G27" s="2"/>
      <c r="H27" s="7">
        <v>11608.6223696815</v>
      </c>
      <c r="I27" s="2"/>
      <c r="J27" s="6">
        <f t="shared" si="13"/>
        <v>1.0282580755457677E-2</v>
      </c>
      <c r="K27" s="2"/>
      <c r="L27" s="7">
        <f t="shared" si="14"/>
        <v>2217.7176303185006</v>
      </c>
      <c r="M27" s="2"/>
      <c r="N27" s="6">
        <f t="shared" si="15"/>
        <v>0.19104055241822351</v>
      </c>
      <c r="O27" s="11"/>
      <c r="P27" s="7">
        <v>30054.22</v>
      </c>
      <c r="Q27" s="2"/>
      <c r="R27" s="6">
        <f t="shared" si="16"/>
        <v>1.554953093393662E-2</v>
      </c>
      <c r="S27" s="2"/>
      <c r="T27" s="7">
        <v>39155.307201465002</v>
      </c>
      <c r="U27" s="2"/>
      <c r="V27" s="6">
        <f t="shared" si="17"/>
        <v>2.7746107710788691E-2</v>
      </c>
      <c r="W27" s="2"/>
      <c r="X27" s="7">
        <f t="shared" si="18"/>
        <v>-9101.0872014650013</v>
      </c>
      <c r="Y27" s="2"/>
      <c r="Z27" s="6">
        <f t="shared" si="19"/>
        <v>-0.23243559690739657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>
        <v>7712.05</v>
      </c>
      <c r="E28" s="2"/>
      <c r="F28" s="6">
        <f t="shared" si="12"/>
        <v>5.4059178336238762E-3</v>
      </c>
      <c r="G28" s="2"/>
      <c r="H28" s="7">
        <v>11079.4287522923</v>
      </c>
      <c r="I28" s="2"/>
      <c r="J28" s="6">
        <f t="shared" si="13"/>
        <v>9.8138364089890694E-3</v>
      </c>
      <c r="K28" s="2"/>
      <c r="L28" s="7">
        <f t="shared" si="14"/>
        <v>-3367.3787522923003</v>
      </c>
      <c r="M28" s="2"/>
      <c r="N28" s="6">
        <f t="shared" si="15"/>
        <v>-0.30393071949630973</v>
      </c>
      <c r="O28" s="11"/>
      <c r="P28" s="7">
        <v>15257.88</v>
      </c>
      <c r="Q28" s="2"/>
      <c r="R28" s="6">
        <f t="shared" si="16"/>
        <v>7.8941618530207359E-3</v>
      </c>
      <c r="S28" s="2"/>
      <c r="T28" s="7">
        <v>25816.397594950002</v>
      </c>
      <c r="U28" s="2"/>
      <c r="V28" s="6">
        <f t="shared" si="17"/>
        <v>1.8293932536104025E-2</v>
      </c>
      <c r="W28" s="2"/>
      <c r="X28" s="7">
        <f t="shared" si="18"/>
        <v>-10558.517594950003</v>
      </c>
      <c r="Y28" s="2"/>
      <c r="Z28" s="6">
        <f t="shared" si="19"/>
        <v>-0.40898493122895563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7">
        <v>44538.95</v>
      </c>
      <c r="E29" s="2"/>
      <c r="F29" s="6">
        <f t="shared" si="12"/>
        <v>3.1220480170108096E-2</v>
      </c>
      <c r="G29" s="2"/>
      <c r="H29" s="7">
        <v>61886.692307692298</v>
      </c>
      <c r="I29" s="2"/>
      <c r="J29" s="6">
        <f t="shared" si="13"/>
        <v>5.4817435788417919E-2</v>
      </c>
      <c r="K29" s="2"/>
      <c r="L29" s="7">
        <f t="shared" si="14"/>
        <v>-17347.742307692301</v>
      </c>
      <c r="M29" s="2"/>
      <c r="N29" s="6">
        <f t="shared" si="15"/>
        <v>-0.28031458235708678</v>
      </c>
      <c r="O29" s="11"/>
      <c r="P29" s="7">
        <v>127460.05</v>
      </c>
      <c r="Q29" s="2"/>
      <c r="R29" s="6">
        <f t="shared" si="16"/>
        <v>6.5945613970886885E-2</v>
      </c>
      <c r="S29" s="2"/>
      <c r="T29" s="7">
        <v>197655</v>
      </c>
      <c r="U29" s="2"/>
      <c r="V29" s="6">
        <f t="shared" si="17"/>
        <v>0.14006164965986395</v>
      </c>
      <c r="W29" s="2"/>
      <c r="X29" s="7">
        <f t="shared" si="18"/>
        <v>-70194.95</v>
      </c>
      <c r="Y29" s="2"/>
      <c r="Z29" s="6">
        <f t="shared" si="19"/>
        <v>-0.35513875186562444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>
        <v>556.99</v>
      </c>
      <c r="E30" s="2"/>
      <c r="F30" s="6">
        <f t="shared" si="12"/>
        <v>3.9043343522800851E-4</v>
      </c>
      <c r="G30" s="2"/>
      <c r="H30" s="7">
        <v>613.89974616923098</v>
      </c>
      <c r="I30" s="2"/>
      <c r="J30" s="6">
        <f t="shared" si="13"/>
        <v>5.4377457675137378E-4</v>
      </c>
      <c r="K30" s="2"/>
      <c r="L30" s="7">
        <f t="shared" si="14"/>
        <v>-56.909746169230971</v>
      </c>
      <c r="M30" s="2"/>
      <c r="N30" s="6">
        <f t="shared" si="15"/>
        <v>-9.2702019384029707E-2</v>
      </c>
      <c r="O30" s="11"/>
      <c r="P30" s="7">
        <v>1101.97</v>
      </c>
      <c r="Q30" s="2"/>
      <c r="R30" s="6">
        <f t="shared" si="16"/>
        <v>5.701401201984326E-4</v>
      </c>
      <c r="S30" s="2"/>
      <c r="T30" s="7">
        <v>1430.46002505</v>
      </c>
      <c r="U30" s="2"/>
      <c r="V30" s="6">
        <f t="shared" si="17"/>
        <v>1.0136479769345238E-3</v>
      </c>
      <c r="W30" s="2"/>
      <c r="X30" s="7">
        <f t="shared" si="18"/>
        <v>-328.49002504999999</v>
      </c>
      <c r="Y30" s="2"/>
      <c r="Z30" s="6">
        <f t="shared" si="19"/>
        <v>-0.22963943018157254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7">
        <v>4130.42</v>
      </c>
      <c r="E31" s="2"/>
      <c r="F31" s="6">
        <f t="shared" si="12"/>
        <v>2.8953016562855184E-3</v>
      </c>
      <c r="G31" s="2"/>
      <c r="H31" s="7">
        <v>3831.97668769231</v>
      </c>
      <c r="I31" s="2"/>
      <c r="J31" s="6">
        <f t="shared" si="13"/>
        <v>3.3942537270517203E-3</v>
      </c>
      <c r="K31" s="2"/>
      <c r="L31" s="7">
        <f t="shared" si="14"/>
        <v>298.44331230769012</v>
      </c>
      <c r="M31" s="2"/>
      <c r="N31" s="6">
        <f t="shared" si="15"/>
        <v>7.7882340272643569E-2</v>
      </c>
      <c r="O31" s="11"/>
      <c r="P31" s="7">
        <v>11403.99</v>
      </c>
      <c r="Q31" s="2"/>
      <c r="R31" s="6">
        <f t="shared" si="16"/>
        <v>5.9002261670841518E-3</v>
      </c>
      <c r="S31" s="2"/>
      <c r="T31" s="7">
        <v>12453.924235</v>
      </c>
      <c r="U31" s="2"/>
      <c r="V31" s="6">
        <f t="shared" si="17"/>
        <v>8.8250596903344681E-3</v>
      </c>
      <c r="W31" s="2"/>
      <c r="X31" s="7">
        <f t="shared" si="18"/>
        <v>-1049.9342350000006</v>
      </c>
      <c r="Y31" s="2"/>
      <c r="Z31" s="6">
        <f t="shared" si="19"/>
        <v>-8.4305494010418688E-2</v>
      </c>
    </row>
    <row r="32" spans="1:26" s="24" customFormat="1" hidden="1" outlineLevel="2" x14ac:dyDescent="0.25">
      <c r="A32" s="29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9"/>
      <c r="B33" s="11" t="str">
        <f>CONCATENATE("          ", "6117", " - ", "RETIREMENT STAFF HOURLY")</f>
        <v xml:space="preserve">          6117 - RETIREMENT STAFF HOURLY</v>
      </c>
      <c r="C33" s="11"/>
      <c r="D33" s="7">
        <v>1146.68</v>
      </c>
      <c r="E33" s="2"/>
      <c r="F33" s="6">
        <f t="shared" si="12"/>
        <v>8.0378859855159484E-4</v>
      </c>
      <c r="G33" s="2"/>
      <c r="H33" s="7"/>
      <c r="I33" s="2"/>
      <c r="J33" s="6">
        <f t="shared" si="13"/>
        <v>0</v>
      </c>
      <c r="K33" s="2"/>
      <c r="L33" s="7">
        <f t="shared" si="14"/>
        <v>1146.68</v>
      </c>
      <c r="M33" s="2"/>
      <c r="N33" s="6">
        <f t="shared" si="15"/>
        <v>0</v>
      </c>
      <c r="O33" s="11"/>
      <c r="P33" s="7">
        <v>4617.3</v>
      </c>
      <c r="Q33" s="2"/>
      <c r="R33" s="6">
        <f t="shared" si="16"/>
        <v>2.3889107480169359E-3</v>
      </c>
      <c r="S33" s="2"/>
      <c r="T33" s="7"/>
      <c r="U33" s="2"/>
      <c r="V33" s="6">
        <f t="shared" si="17"/>
        <v>0</v>
      </c>
      <c r="W33" s="2"/>
      <c r="X33" s="7">
        <f t="shared" si="18"/>
        <v>4617.3</v>
      </c>
      <c r="Y33" s="2"/>
      <c r="Z33" s="6">
        <f t="shared" si="19"/>
        <v>0</v>
      </c>
    </row>
    <row r="34" spans="1:26" s="24" customFormat="1" hidden="1" outlineLevel="2" x14ac:dyDescent="0.25">
      <c r="A34" s="29"/>
      <c r="B34" s="11" t="str">
        <f>CONCATENATE("          ", "6118", " - ", "VACATION")</f>
        <v xml:space="preserve">          6118 - VACATION</v>
      </c>
      <c r="C34" s="11"/>
      <c r="D34" s="7">
        <v>7138.07</v>
      </c>
      <c r="E34" s="2"/>
      <c r="F34" s="6">
        <f t="shared" si="12"/>
        <v>5.0035749133700612E-3</v>
      </c>
      <c r="G34" s="2"/>
      <c r="H34" s="7">
        <v>5673.2032538461499</v>
      </c>
      <c r="I34" s="2"/>
      <c r="J34" s="6">
        <f t="shared" si="13"/>
        <v>5.0251587778540868E-3</v>
      </c>
      <c r="K34" s="2"/>
      <c r="L34" s="7">
        <f t="shared" si="14"/>
        <v>1464.8667461538498</v>
      </c>
      <c r="M34" s="2"/>
      <c r="N34" s="6">
        <f t="shared" si="15"/>
        <v>0.25820804942265074</v>
      </c>
      <c r="O34" s="11"/>
      <c r="P34" s="7">
        <v>19892.939999999999</v>
      </c>
      <c r="Q34" s="2"/>
      <c r="R34" s="6">
        <f t="shared" si="16"/>
        <v>1.0292261316279215E-2</v>
      </c>
      <c r="S34" s="2"/>
      <c r="T34" s="7">
        <v>18437.910575000002</v>
      </c>
      <c r="U34" s="2"/>
      <c r="V34" s="6">
        <f t="shared" si="17"/>
        <v>1.3065412822420635E-2</v>
      </c>
      <c r="W34" s="2"/>
      <c r="X34" s="7">
        <f t="shared" si="18"/>
        <v>1455.029424999997</v>
      </c>
      <c r="Y34" s="2"/>
      <c r="Z34" s="6">
        <f t="shared" si="19"/>
        <v>7.891509285075253E-2</v>
      </c>
    </row>
    <row r="35" spans="1:26" s="24" customFormat="1" hidden="1" outlineLevel="2" x14ac:dyDescent="0.25">
      <c r="A35" s="29"/>
      <c r="B35" s="11" t="str">
        <f>CONCATENATE("          ", "6119", " - ", "SICK LEAVE")</f>
        <v xml:space="preserve">          6119 - SICK LEAVE</v>
      </c>
      <c r="C35" s="11"/>
      <c r="D35" s="7">
        <v>5110.76</v>
      </c>
      <c r="E35" s="2"/>
      <c r="F35" s="6">
        <f t="shared" si="12"/>
        <v>3.5824908587692721E-3</v>
      </c>
      <c r="G35" s="2"/>
      <c r="H35" s="7">
        <v>9152.6672538461498</v>
      </c>
      <c r="I35" s="2"/>
      <c r="J35" s="6">
        <f t="shared" si="13"/>
        <v>8.1071669978087357E-3</v>
      </c>
      <c r="K35" s="2"/>
      <c r="L35" s="7">
        <f t="shared" si="14"/>
        <v>-4041.9072538461496</v>
      </c>
      <c r="M35" s="2"/>
      <c r="N35" s="6">
        <f t="shared" si="15"/>
        <v>-0.4416097670487969</v>
      </c>
      <c r="O35" s="11"/>
      <c r="P35" s="7">
        <v>13563.27</v>
      </c>
      <c r="Q35" s="2"/>
      <c r="R35" s="6">
        <f t="shared" si="16"/>
        <v>7.0174000998972702E-3</v>
      </c>
      <c r="S35" s="2"/>
      <c r="T35" s="7">
        <v>21678.823574999999</v>
      </c>
      <c r="U35" s="2"/>
      <c r="V35" s="6">
        <f t="shared" si="17"/>
        <v>1.5361978156887755E-2</v>
      </c>
      <c r="W35" s="2"/>
      <c r="X35" s="7">
        <f t="shared" si="18"/>
        <v>-8115.5535749999981</v>
      </c>
      <c r="Y35" s="2"/>
      <c r="Z35" s="6">
        <f t="shared" si="19"/>
        <v>-0.37435396560719503</v>
      </c>
    </row>
    <row r="36" spans="1:26" s="24" customFormat="1" hidden="1" outlineLevel="2" x14ac:dyDescent="0.25">
      <c r="A36" s="29"/>
      <c r="B36" s="11" t="str">
        <f>CONCATENATE("          ", "6156", " - ", "EMPLOYEE MEALS")</f>
        <v xml:space="preserve">          6156 - EMPLOYEE MEALS</v>
      </c>
      <c r="C36" s="11"/>
      <c r="D36" s="7">
        <v>2928.26</v>
      </c>
      <c r="E36" s="2"/>
      <c r="F36" s="6">
        <f t="shared" si="12"/>
        <v>2.0526232267020382E-3</v>
      </c>
      <c r="G36" s="2"/>
      <c r="H36" s="7">
        <v>4200</v>
      </c>
      <c r="I36" s="2"/>
      <c r="J36" s="6">
        <f t="shared" si="13"/>
        <v>3.720238095238095E-3</v>
      </c>
      <c r="K36" s="2"/>
      <c r="L36" s="7">
        <f t="shared" si="14"/>
        <v>-1271.7399999999998</v>
      </c>
      <c r="M36" s="2"/>
      <c r="N36" s="6">
        <f t="shared" si="15"/>
        <v>-0.30279523809523806</v>
      </c>
      <c r="O36" s="11"/>
      <c r="P36" s="7">
        <v>7506.53</v>
      </c>
      <c r="Q36" s="2"/>
      <c r="R36" s="6">
        <f t="shared" si="16"/>
        <v>3.8837481206141183E-3</v>
      </c>
      <c r="S36" s="2"/>
      <c r="T36" s="7">
        <v>12600</v>
      </c>
      <c r="U36" s="2"/>
      <c r="V36" s="6">
        <f t="shared" si="17"/>
        <v>8.9285714285714281E-3</v>
      </c>
      <c r="W36" s="2"/>
      <c r="X36" s="7">
        <f t="shared" si="18"/>
        <v>-5093.47</v>
      </c>
      <c r="Y36" s="2"/>
      <c r="Z36" s="6">
        <f t="shared" si="19"/>
        <v>-0.40424365079365082</v>
      </c>
    </row>
    <row r="37" spans="1:26" s="28" customFormat="1" outlineLevel="1" collapsed="1" x14ac:dyDescent="0.25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226549.39</v>
      </c>
      <c r="E37" s="1"/>
      <c r="F37" s="5">
        <f t="shared" ref="F37:F47" si="20">IF(D$12=0,0,D37/D$12)</f>
        <v>0.1588043889235172</v>
      </c>
      <c r="G37" s="1"/>
      <c r="H37" s="1">
        <f>SUM(OSRRefH22_1x_0)</f>
        <v>278644.3419538461</v>
      </c>
      <c r="I37" s="1"/>
      <c r="J37" s="5">
        <f t="shared" ref="J37:J47" si="21">IF(H$12=0,0,H37/H$12)</f>
        <v>0.24681507046648782</v>
      </c>
      <c r="K37" s="1"/>
      <c r="L37" s="1">
        <f t="shared" ref="L37:L47" si="22">+D37-H37</f>
        <v>-52094.951953846088</v>
      </c>
      <c r="M37" s="1"/>
      <c r="N37" s="5">
        <f t="shared" ref="N37:N47" si="23">IF(H37=0,0,L37/H37)</f>
        <v>-0.1869585852293206</v>
      </c>
      <c r="O37" s="14"/>
      <c r="P37" s="1">
        <f>SUM(OSRRefP22_1x_0)</f>
        <v>467972.27999999997</v>
      </c>
      <c r="Q37" s="1"/>
      <c r="R37" s="5">
        <f t="shared" ref="R37:R47" si="24">IF(P$12=0,0,P37/P$12)</f>
        <v>0.24212072195135487</v>
      </c>
      <c r="S37" s="1"/>
      <c r="T37" s="1">
        <f>SUM(OSRRefT22_1x_0)</f>
        <v>643223.70634999999</v>
      </c>
      <c r="U37" s="1"/>
      <c r="V37" s="5">
        <f t="shared" ref="V37:V47" si="25">IF(T$12=0,0,T37/T$12)</f>
        <v>0.4557991116425737</v>
      </c>
      <c r="W37" s="1"/>
      <c r="X37" s="1">
        <f t="shared" ref="X37:X47" si="26">+P37-T37</f>
        <v>-175251.42635000002</v>
      </c>
      <c r="Y37" s="1"/>
      <c r="Z37" s="5">
        <f t="shared" ref="Z37:Z47" si="27">IF(T37=0,0,X37/T37)</f>
        <v>-0.27245797165106306</v>
      </c>
    </row>
    <row r="38" spans="1:26" s="24" customFormat="1" hidden="1" outlineLevel="2" x14ac:dyDescent="0.25">
      <c r="A38" s="29"/>
      <c r="B38" s="11" t="str">
        <f>CONCATENATE("          ", "6001", " - ", "ADMINISTRATIVE SALARIES")</f>
        <v xml:space="preserve">          6001 - ADMINISTRATIVE SALARIES</v>
      </c>
      <c r="C38" s="11"/>
      <c r="D38" s="7">
        <v>7615.56</v>
      </c>
      <c r="E38" s="2"/>
      <c r="F38" s="6">
        <f t="shared" si="20"/>
        <v>5.3382812114849687E-3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7615.56</v>
      </c>
      <c r="M38" s="2"/>
      <c r="N38" s="6">
        <f t="shared" si="23"/>
        <v>0</v>
      </c>
      <c r="O38" s="11"/>
      <c r="P38" s="7">
        <v>27774.639999999999</v>
      </c>
      <c r="Q38" s="2"/>
      <c r="R38" s="6">
        <f t="shared" si="24"/>
        <v>1.43701158725448E-2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27774.639999999999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"6002", " - ", "STAFF SALARIES")</f>
        <v xml:space="preserve">          6002 - STAFF SALARIES</v>
      </c>
      <c r="C39" s="11"/>
      <c r="D39" s="7">
        <v>41093.839999999997</v>
      </c>
      <c r="E39" s="2"/>
      <c r="F39" s="6">
        <f t="shared" si="20"/>
        <v>2.8805560455143077E-2</v>
      </c>
      <c r="G39" s="2"/>
      <c r="H39" s="7">
        <v>41973.976353846097</v>
      </c>
      <c r="I39" s="2"/>
      <c r="J39" s="6">
        <f t="shared" si="21"/>
        <v>3.7179329961952681E-2</v>
      </c>
      <c r="K39" s="2"/>
      <c r="L39" s="7">
        <f t="shared" si="22"/>
        <v>-880.13635384610097</v>
      </c>
      <c r="M39" s="2"/>
      <c r="N39" s="6">
        <f t="shared" si="23"/>
        <v>-2.0968619852130204E-2</v>
      </c>
      <c r="O39" s="11"/>
      <c r="P39" s="7">
        <v>107628.9</v>
      </c>
      <c r="Q39" s="2"/>
      <c r="R39" s="6">
        <f t="shared" si="24"/>
        <v>5.5685321726385545E-2</v>
      </c>
      <c r="S39" s="2"/>
      <c r="T39" s="7">
        <v>136415.42314999999</v>
      </c>
      <c r="U39" s="2"/>
      <c r="V39" s="6">
        <f t="shared" si="25"/>
        <v>9.6666257901077093E-2</v>
      </c>
      <c r="W39" s="2"/>
      <c r="X39" s="7">
        <f t="shared" si="26"/>
        <v>-28786.523149999994</v>
      </c>
      <c r="Y39" s="2"/>
      <c r="Z39" s="6">
        <f t="shared" si="27"/>
        <v>-0.21102103035920536</v>
      </c>
    </row>
    <row r="40" spans="1:26" s="24" customFormat="1" hidden="1" outlineLevel="2" x14ac:dyDescent="0.25">
      <c r="A40" s="29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9"/>
      <c r="B41" s="11" t="str">
        <f>CONCATENATE("          ", "6004", " - ", "STAFF HOURLY")</f>
        <v xml:space="preserve">          6004 - STAFF HOURLY</v>
      </c>
      <c r="C41" s="11"/>
      <c r="D41" s="7">
        <v>91722.87</v>
      </c>
      <c r="E41" s="2"/>
      <c r="F41" s="6">
        <f t="shared" si="20"/>
        <v>6.4295005696820479E-2</v>
      </c>
      <c r="G41" s="2"/>
      <c r="H41" s="7">
        <v>99718.745599999995</v>
      </c>
      <c r="I41" s="2"/>
      <c r="J41" s="6">
        <f t="shared" si="21"/>
        <v>8.832797052154194E-2</v>
      </c>
      <c r="K41" s="2"/>
      <c r="L41" s="7">
        <f t="shared" si="22"/>
        <v>-7995.8755999999994</v>
      </c>
      <c r="M41" s="2"/>
      <c r="N41" s="6">
        <f t="shared" si="23"/>
        <v>-8.0184277809447299E-2</v>
      </c>
      <c r="O41" s="11"/>
      <c r="P41" s="7">
        <v>179012.46</v>
      </c>
      <c r="Q41" s="2"/>
      <c r="R41" s="6">
        <f t="shared" si="24"/>
        <v>9.2617934663754092E-2</v>
      </c>
      <c r="S41" s="2"/>
      <c r="T41" s="7">
        <v>298585.92320000002</v>
      </c>
      <c r="U41" s="2"/>
      <c r="V41" s="6">
        <f t="shared" si="25"/>
        <v>0.21158299546485262</v>
      </c>
      <c r="W41" s="2"/>
      <c r="X41" s="7">
        <f t="shared" si="26"/>
        <v>-119573.46320000003</v>
      </c>
      <c r="Y41" s="2"/>
      <c r="Z41" s="6">
        <f t="shared" si="27"/>
        <v>-0.40046584218877207</v>
      </c>
    </row>
    <row r="42" spans="1:26" s="24" customFormat="1" hidden="1" outlineLevel="2" x14ac:dyDescent="0.25">
      <c r="A42" s="29"/>
      <c r="B42" s="11" t="str">
        <f>CONCATENATE("          ", "6005", " - ", "TEMPORARY WAGES-HOURLY")</f>
        <v xml:space="preserve">          6005 - TEMPORARY WAGES-HOURLY</v>
      </c>
      <c r="C42" s="11"/>
      <c r="D42" s="7">
        <v>37175.72</v>
      </c>
      <c r="E42" s="2"/>
      <c r="F42" s="6">
        <f t="shared" si="20"/>
        <v>2.605907478890928E-2</v>
      </c>
      <c r="G42" s="2"/>
      <c r="H42" s="7">
        <v>25594.42</v>
      </c>
      <c r="I42" s="2"/>
      <c r="J42" s="6">
        <f t="shared" si="21"/>
        <v>2.267079435941043E-2</v>
      </c>
      <c r="K42" s="2"/>
      <c r="L42" s="7">
        <f t="shared" si="22"/>
        <v>11581.300000000003</v>
      </c>
      <c r="M42" s="2"/>
      <c r="N42" s="6">
        <f t="shared" si="23"/>
        <v>0.45249316061860373</v>
      </c>
      <c r="O42" s="11"/>
      <c r="P42" s="7">
        <v>52849.3</v>
      </c>
      <c r="Q42" s="2"/>
      <c r="R42" s="6">
        <f t="shared" si="24"/>
        <v>2.7343309032372046E-2</v>
      </c>
      <c r="S42" s="2"/>
      <c r="T42" s="7">
        <v>40039.660000000003</v>
      </c>
      <c r="U42" s="2"/>
      <c r="V42" s="6">
        <f t="shared" si="25"/>
        <v>2.8372774943310659E-2</v>
      </c>
      <c r="W42" s="2"/>
      <c r="X42" s="7">
        <f t="shared" si="26"/>
        <v>12809.64</v>
      </c>
      <c r="Y42" s="2"/>
      <c r="Z42" s="6">
        <f t="shared" si="27"/>
        <v>0.31992379555670547</v>
      </c>
    </row>
    <row r="43" spans="1:26" s="24" customFormat="1" hidden="1" outlineLevel="2" x14ac:dyDescent="0.25">
      <c r="A43" s="29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9"/>
      <c r="B44" s="11" t="str">
        <f>CONCATENATE("          ", "6007", " - ", "STUDENT HOURLY")</f>
        <v xml:space="preserve">          6007 - STUDENT HOURLY</v>
      </c>
      <c r="C44" s="11"/>
      <c r="D44" s="7">
        <v>45983.199999999997</v>
      </c>
      <c r="E44" s="2"/>
      <c r="F44" s="6">
        <f t="shared" si="20"/>
        <v>3.223285649432945E-2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45983.199999999997</v>
      </c>
      <c r="M44" s="2"/>
      <c r="N44" s="6">
        <f t="shared" si="23"/>
        <v>0</v>
      </c>
      <c r="O44" s="11"/>
      <c r="P44" s="7">
        <v>96119.32</v>
      </c>
      <c r="Q44" s="2"/>
      <c r="R44" s="6">
        <f t="shared" si="24"/>
        <v>4.9730465128988634E-2</v>
      </c>
      <c r="S44" s="2"/>
      <c r="T44" s="7">
        <v>42825.5</v>
      </c>
      <c r="U44" s="2"/>
      <c r="V44" s="6">
        <f t="shared" si="25"/>
        <v>3.03468679138322E-2</v>
      </c>
      <c r="W44" s="2"/>
      <c r="X44" s="7">
        <f t="shared" si="26"/>
        <v>53293.820000000007</v>
      </c>
      <c r="Y44" s="2"/>
      <c r="Z44" s="6">
        <f t="shared" si="27"/>
        <v>1.244441279144435</v>
      </c>
    </row>
    <row r="45" spans="1:26" s="24" customFormat="1" hidden="1" outlineLevel="2" x14ac:dyDescent="0.25">
      <c r="A45" s="29"/>
      <c r="B45" s="11" t="str">
        <f>CONCATENATE("          ", "6008", " - ", "STUDENT HOURLY-FICA EXEMPT")</f>
        <v xml:space="preserve">          6008 - STUDENT HOURLY-FICA EXEMPT</v>
      </c>
      <c r="C45" s="11"/>
      <c r="D45" s="7">
        <v>2958.2</v>
      </c>
      <c r="E45" s="2"/>
      <c r="F45" s="6">
        <f t="shared" si="20"/>
        <v>2.0736102768299154E-3</v>
      </c>
      <c r="G45" s="2"/>
      <c r="H45" s="7">
        <v>111357.2</v>
      </c>
      <c r="I45" s="2"/>
      <c r="J45" s="6">
        <f t="shared" si="21"/>
        <v>9.863697562358277E-2</v>
      </c>
      <c r="K45" s="2"/>
      <c r="L45" s="7">
        <f t="shared" si="22"/>
        <v>-108399</v>
      </c>
      <c r="M45" s="2"/>
      <c r="N45" s="6">
        <f t="shared" si="23"/>
        <v>-0.97343503608208537</v>
      </c>
      <c r="O45" s="11"/>
      <c r="P45" s="7">
        <v>4587.66</v>
      </c>
      <c r="Q45" s="2"/>
      <c r="R45" s="6">
        <f t="shared" si="24"/>
        <v>2.3735755273097642E-3</v>
      </c>
      <c r="S45" s="2"/>
      <c r="T45" s="7">
        <v>125357.2</v>
      </c>
      <c r="U45" s="2"/>
      <c r="V45" s="6">
        <f t="shared" si="25"/>
        <v>8.8830215419501132E-2</v>
      </c>
      <c r="W45" s="2"/>
      <c r="X45" s="7">
        <f t="shared" si="26"/>
        <v>-120769.54</v>
      </c>
      <c r="Y45" s="2"/>
      <c r="Z45" s="6">
        <f t="shared" si="27"/>
        <v>-0.96340329873353903</v>
      </c>
    </row>
    <row r="46" spans="1:26" s="24" customFormat="1" hidden="1" outlineLevel="2" x14ac:dyDescent="0.25">
      <c r="A46" s="29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9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8" customFormat="1" outlineLevel="1" collapsed="1" x14ac:dyDescent="0.25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732.76</v>
      </c>
      <c r="E48" s="1"/>
      <c r="F48" s="5">
        <f t="shared" ref="F48:F71" si="28">IF(D$12=0,0,D48/D$12)</f>
        <v>5.1364298101882534E-4</v>
      </c>
      <c r="G48" s="1"/>
      <c r="H48" s="1">
        <f>SUM(OSRRefH22_2x_0)</f>
        <v>1319</v>
      </c>
      <c r="I48" s="1"/>
      <c r="J48" s="5">
        <f t="shared" ref="J48:J71" si="29">IF(H$12=0,0,H48/H$12)</f>
        <v>1.1683319160997732E-3</v>
      </c>
      <c r="K48" s="1"/>
      <c r="L48" s="1">
        <f t="shared" ref="L48:L71" si="30">+D48-H48</f>
        <v>-586.24</v>
      </c>
      <c r="M48" s="1"/>
      <c r="N48" s="5">
        <f t="shared" ref="N48:N71" si="31">IF(H48=0,0,L48/H48)</f>
        <v>-0.44445792266868839</v>
      </c>
      <c r="O48" s="14"/>
      <c r="P48" s="1">
        <f>SUM(OSRRefP22_2x_0)</f>
        <v>2824.9</v>
      </c>
      <c r="Q48" s="1"/>
      <c r="R48" s="5">
        <f t="shared" ref="R48:R71" si="32">IF(P$12=0,0,P48/P$12)</f>
        <v>1.4615541489773334E-3</v>
      </c>
      <c r="S48" s="1"/>
      <c r="T48" s="1">
        <f>SUM(OSRRefT22_2x_0)</f>
        <v>3957</v>
      </c>
      <c r="U48" s="1"/>
      <c r="V48" s="5">
        <f t="shared" ref="V48:V71" si="33">IF(T$12=0,0,T48/T$12)</f>
        <v>2.8039965986394557E-3</v>
      </c>
      <c r="W48" s="1"/>
      <c r="X48" s="1">
        <f t="shared" ref="X48:X71" si="34">+P48-T48</f>
        <v>-1132.0999999999999</v>
      </c>
      <c r="Y48" s="1"/>
      <c r="Z48" s="5">
        <f t="shared" ref="Z48:Z71" si="35">IF(T48=0,0,X48/T48)</f>
        <v>-0.28610058124842047</v>
      </c>
    </row>
    <row r="49" spans="1:26" s="24" customFormat="1" hidden="1" outlineLevel="2" x14ac:dyDescent="0.25">
      <c r="A49" s="29"/>
      <c r="B49" s="11" t="str">
        <f>CONCATENATE("          ", "6362", " - ", "ADVERTISING EXPENSE")</f>
        <v xml:space="preserve">          6362 - ADVERTISING EXPENSE</v>
      </c>
      <c r="C49" s="11"/>
      <c r="D49" s="7">
        <v>732.76</v>
      </c>
      <c r="E49" s="2"/>
      <c r="F49" s="6">
        <f t="shared" si="28"/>
        <v>5.1364298101882534E-4</v>
      </c>
      <c r="G49" s="2"/>
      <c r="H49" s="7">
        <v>1319</v>
      </c>
      <c r="I49" s="2"/>
      <c r="J49" s="6">
        <f t="shared" si="29"/>
        <v>1.1683319160997732E-3</v>
      </c>
      <c r="K49" s="2"/>
      <c r="L49" s="7">
        <f t="shared" si="30"/>
        <v>-586.24</v>
      </c>
      <c r="M49" s="2"/>
      <c r="N49" s="6">
        <f t="shared" si="31"/>
        <v>-0.44445792266868839</v>
      </c>
      <c r="O49" s="11"/>
      <c r="P49" s="7">
        <v>2824.9</v>
      </c>
      <c r="Q49" s="2"/>
      <c r="R49" s="6">
        <f t="shared" si="32"/>
        <v>1.4615541489773334E-3</v>
      </c>
      <c r="S49" s="2"/>
      <c r="T49" s="7">
        <v>3957</v>
      </c>
      <c r="U49" s="2"/>
      <c r="V49" s="6">
        <f t="shared" si="33"/>
        <v>2.8039965986394557E-3</v>
      </c>
      <c r="W49" s="2"/>
      <c r="X49" s="7">
        <f t="shared" si="34"/>
        <v>-1132.0999999999999</v>
      </c>
      <c r="Y49" s="2"/>
      <c r="Z49" s="6">
        <f t="shared" si="35"/>
        <v>-0.28610058124842047</v>
      </c>
    </row>
    <row r="50" spans="1:26" s="28" customFormat="1" outlineLevel="1" collapsed="1" x14ac:dyDescent="0.25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0.1</v>
      </c>
      <c r="E50" s="1"/>
      <c r="F50" s="5">
        <f t="shared" si="28"/>
        <v>7.0097027815222626E-8</v>
      </c>
      <c r="G50" s="1"/>
      <c r="H50" s="1">
        <f>SUM(OSRRefH22_3x_0)</f>
        <v>33</v>
      </c>
      <c r="I50" s="1"/>
      <c r="J50" s="5">
        <f t="shared" si="29"/>
        <v>2.9230442176870748E-5</v>
      </c>
      <c r="K50" s="1"/>
      <c r="L50" s="1">
        <f t="shared" si="30"/>
        <v>-32.9</v>
      </c>
      <c r="M50" s="1"/>
      <c r="N50" s="5">
        <f t="shared" si="31"/>
        <v>-0.99696969696969695</v>
      </c>
      <c r="O50" s="14"/>
      <c r="P50" s="1">
        <f>SUM(OSRRefP22_3x_0)</f>
        <v>0.1</v>
      </c>
      <c r="Q50" s="1"/>
      <c r="R50" s="5">
        <f t="shared" si="32"/>
        <v>5.1738261495179779E-8</v>
      </c>
      <c r="S50" s="1"/>
      <c r="T50" s="1">
        <f>SUM(OSRRefT22_3x_0)</f>
        <v>81</v>
      </c>
      <c r="U50" s="1"/>
      <c r="V50" s="5">
        <f t="shared" si="33"/>
        <v>5.7397959183673466E-5</v>
      </c>
      <c r="W50" s="1"/>
      <c r="X50" s="1">
        <f t="shared" si="34"/>
        <v>-80.900000000000006</v>
      </c>
      <c r="Y50" s="1"/>
      <c r="Z50" s="5">
        <f t="shared" si="35"/>
        <v>-0.99876543209876545</v>
      </c>
    </row>
    <row r="51" spans="1:26" s="24" customFormat="1" hidden="1" outlineLevel="2" x14ac:dyDescent="0.25">
      <c r="A51" s="29"/>
      <c r="B51" s="11" t="str">
        <f>CONCATENATE("          ", "6272", " - ", "CASH (OVER/SHORT)")</f>
        <v xml:space="preserve">          6272 - CASH (OVER/SHORT)</v>
      </c>
      <c r="C51" s="11"/>
      <c r="D51" s="7">
        <v>0.1</v>
      </c>
      <c r="E51" s="2"/>
      <c r="F51" s="6">
        <f t="shared" si="28"/>
        <v>7.0097027815222626E-8</v>
      </c>
      <c r="G51" s="2"/>
      <c r="H51" s="7">
        <v>33</v>
      </c>
      <c r="I51" s="2"/>
      <c r="J51" s="6">
        <f t="shared" si="29"/>
        <v>2.9230442176870748E-5</v>
      </c>
      <c r="K51" s="2"/>
      <c r="L51" s="7">
        <f t="shared" si="30"/>
        <v>-32.9</v>
      </c>
      <c r="M51" s="2"/>
      <c r="N51" s="6">
        <f t="shared" si="31"/>
        <v>-0.99696969696969695</v>
      </c>
      <c r="O51" s="11"/>
      <c r="P51" s="7">
        <v>0.1</v>
      </c>
      <c r="Q51" s="2"/>
      <c r="R51" s="6">
        <f t="shared" si="32"/>
        <v>5.1738261495179779E-8</v>
      </c>
      <c r="S51" s="2"/>
      <c r="T51" s="7">
        <v>81</v>
      </c>
      <c r="U51" s="2"/>
      <c r="V51" s="6">
        <f t="shared" si="33"/>
        <v>5.7397959183673466E-5</v>
      </c>
      <c r="W51" s="2"/>
      <c r="X51" s="7">
        <f t="shared" si="34"/>
        <v>-80.900000000000006</v>
      </c>
      <c r="Y51" s="2"/>
      <c r="Z51" s="6">
        <f t="shared" si="35"/>
        <v>-0.99876543209876545</v>
      </c>
    </row>
    <row r="52" spans="1:26" s="28" customFormat="1" outlineLevel="1" collapsed="1" x14ac:dyDescent="0.25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162.44</v>
      </c>
      <c r="E52" s="1"/>
      <c r="F52" s="5">
        <f t="shared" si="28"/>
        <v>1.1386561198304763E-4</v>
      </c>
      <c r="G52" s="1"/>
      <c r="H52" s="1">
        <f>SUM(OSRRefH22_4x_0)</f>
        <v>545</v>
      </c>
      <c r="I52" s="1"/>
      <c r="J52" s="5">
        <f t="shared" si="29"/>
        <v>4.827451814058957E-4</v>
      </c>
      <c r="K52" s="1"/>
      <c r="L52" s="1">
        <f t="shared" si="30"/>
        <v>-382.56</v>
      </c>
      <c r="M52" s="1"/>
      <c r="N52" s="5">
        <f t="shared" si="31"/>
        <v>-0.70194495412844038</v>
      </c>
      <c r="O52" s="14"/>
      <c r="P52" s="1">
        <f>SUM(OSRRefP22_4x_0)</f>
        <v>361.16</v>
      </c>
      <c r="Q52" s="1"/>
      <c r="R52" s="5">
        <f t="shared" si="32"/>
        <v>1.8685790521599129E-4</v>
      </c>
      <c r="S52" s="1"/>
      <c r="T52" s="1">
        <f>SUM(OSRRefT22_4x_0)</f>
        <v>1205</v>
      </c>
      <c r="U52" s="1"/>
      <c r="V52" s="5">
        <f t="shared" si="33"/>
        <v>8.5388321995464851E-4</v>
      </c>
      <c r="W52" s="1"/>
      <c r="X52" s="1">
        <f t="shared" si="34"/>
        <v>-843.83999999999992</v>
      </c>
      <c r="Y52" s="1"/>
      <c r="Z52" s="5">
        <f t="shared" si="35"/>
        <v>-0.70028215767634849</v>
      </c>
    </row>
    <row r="53" spans="1:26" s="24" customFormat="1" hidden="1" outlineLevel="2" x14ac:dyDescent="0.25">
      <c r="A53" s="29"/>
      <c r="B53" s="11" t="str">
        <f>CONCATENATE("          ", "6381", " - ", "BANK/CREDIT CARD FEES")</f>
        <v xml:space="preserve">          6381 - BANK/CREDIT CARD FEES</v>
      </c>
      <c r="C53" s="11"/>
      <c r="D53" s="7">
        <v>162.44</v>
      </c>
      <c r="E53" s="2"/>
      <c r="F53" s="6">
        <f t="shared" si="28"/>
        <v>1.1386561198304763E-4</v>
      </c>
      <c r="G53" s="2"/>
      <c r="H53" s="7">
        <v>545</v>
      </c>
      <c r="I53" s="2"/>
      <c r="J53" s="6">
        <f t="shared" si="29"/>
        <v>4.827451814058957E-4</v>
      </c>
      <c r="K53" s="2"/>
      <c r="L53" s="7">
        <f t="shared" si="30"/>
        <v>-382.56</v>
      </c>
      <c r="M53" s="2"/>
      <c r="N53" s="6">
        <f t="shared" si="31"/>
        <v>-0.70194495412844038</v>
      </c>
      <c r="O53" s="11"/>
      <c r="P53" s="7">
        <v>361.16</v>
      </c>
      <c r="Q53" s="2"/>
      <c r="R53" s="6">
        <f t="shared" si="32"/>
        <v>1.8685790521599129E-4</v>
      </c>
      <c r="S53" s="2"/>
      <c r="T53" s="7">
        <v>1205</v>
      </c>
      <c r="U53" s="2"/>
      <c r="V53" s="6">
        <f t="shared" si="33"/>
        <v>8.5388321995464851E-4</v>
      </c>
      <c r="W53" s="2"/>
      <c r="X53" s="7">
        <f t="shared" si="34"/>
        <v>-843.83999999999992</v>
      </c>
      <c r="Y53" s="2"/>
      <c r="Z53" s="6">
        <f t="shared" si="35"/>
        <v>-0.70028215767634849</v>
      </c>
    </row>
    <row r="54" spans="1:26" s="28" customFormat="1" outlineLevel="1" collapsed="1" x14ac:dyDescent="0.25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760.04</v>
      </c>
      <c r="E54" s="1"/>
      <c r="F54" s="5">
        <f t="shared" si="28"/>
        <v>5.3276545020681805E-4</v>
      </c>
      <c r="G54" s="1"/>
      <c r="H54" s="1">
        <f>SUM(OSRRefH22_5x_0)</f>
        <v>486</v>
      </c>
      <c r="I54" s="1"/>
      <c r="J54" s="5">
        <f t="shared" si="29"/>
        <v>4.3048469387755103E-4</v>
      </c>
      <c r="K54" s="1"/>
      <c r="L54" s="1">
        <f t="shared" si="30"/>
        <v>274.03999999999996</v>
      </c>
      <c r="M54" s="1"/>
      <c r="N54" s="5">
        <f t="shared" si="31"/>
        <v>0.56386831275720162</v>
      </c>
      <c r="O54" s="14"/>
      <c r="P54" s="1">
        <f>SUM(OSRRefP22_5x_0)</f>
        <v>2280.12</v>
      </c>
      <c r="Q54" s="1"/>
      <c r="R54" s="5">
        <f t="shared" si="32"/>
        <v>1.1796944480038931E-3</v>
      </c>
      <c r="S54" s="1"/>
      <c r="T54" s="1">
        <f>SUM(OSRRefT22_5x_0)</f>
        <v>1458</v>
      </c>
      <c r="U54" s="1"/>
      <c r="V54" s="5">
        <f t="shared" si="33"/>
        <v>1.0331632653061225E-3</v>
      </c>
      <c r="W54" s="1"/>
      <c r="X54" s="1">
        <f t="shared" si="34"/>
        <v>822.11999999999989</v>
      </c>
      <c r="Y54" s="1"/>
      <c r="Z54" s="5">
        <f t="shared" si="35"/>
        <v>0.56386831275720162</v>
      </c>
    </row>
    <row r="55" spans="1:26" s="24" customFormat="1" hidden="1" outlineLevel="2" x14ac:dyDescent="0.25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760.04</v>
      </c>
      <c r="E55" s="2"/>
      <c r="F55" s="6">
        <f t="shared" si="28"/>
        <v>5.3276545020681805E-4</v>
      </c>
      <c r="G55" s="2"/>
      <c r="H55" s="7">
        <v>486</v>
      </c>
      <c r="I55" s="2"/>
      <c r="J55" s="6">
        <f t="shared" si="29"/>
        <v>4.3048469387755103E-4</v>
      </c>
      <c r="K55" s="2"/>
      <c r="L55" s="7">
        <f t="shared" si="30"/>
        <v>274.03999999999996</v>
      </c>
      <c r="M55" s="2"/>
      <c r="N55" s="6">
        <f t="shared" si="31"/>
        <v>0.56386831275720162</v>
      </c>
      <c r="O55" s="11"/>
      <c r="P55" s="7">
        <v>2280.12</v>
      </c>
      <c r="Q55" s="2"/>
      <c r="R55" s="6">
        <f t="shared" si="32"/>
        <v>1.1796944480038931E-3</v>
      </c>
      <c r="S55" s="2"/>
      <c r="T55" s="7">
        <v>1458</v>
      </c>
      <c r="U55" s="2"/>
      <c r="V55" s="6">
        <f t="shared" si="33"/>
        <v>1.0331632653061225E-3</v>
      </c>
      <c r="W55" s="2"/>
      <c r="X55" s="7">
        <f t="shared" si="34"/>
        <v>822.11999999999989</v>
      </c>
      <c r="Y55" s="2"/>
      <c r="Z55" s="6">
        <f t="shared" si="35"/>
        <v>0.56386831275720162</v>
      </c>
    </row>
    <row r="56" spans="1:26" s="28" customFormat="1" outlineLevel="1" collapsed="1" x14ac:dyDescent="0.25">
      <c r="A56" s="27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9653.6200000000008</v>
      </c>
      <c r="E56" s="1"/>
      <c r="F56" s="5">
        <f t="shared" si="28"/>
        <v>6.7669006965758952E-3</v>
      </c>
      <c r="G56" s="1"/>
      <c r="H56" s="1">
        <f>SUM(OSRRefH22_6x_0)</f>
        <v>15500</v>
      </c>
      <c r="I56" s="1"/>
      <c r="J56" s="5">
        <f t="shared" si="29"/>
        <v>1.3729450113378686E-2</v>
      </c>
      <c r="K56" s="1"/>
      <c r="L56" s="1">
        <f t="shared" si="30"/>
        <v>-5846.3799999999992</v>
      </c>
      <c r="M56" s="1"/>
      <c r="N56" s="5">
        <f t="shared" si="31"/>
        <v>-0.37718580645161287</v>
      </c>
      <c r="O56" s="14"/>
      <c r="P56" s="1">
        <f>SUM(OSRRefP22_6x_0)</f>
        <v>13915.18</v>
      </c>
      <c r="Q56" s="1"/>
      <c r="R56" s="5">
        <f t="shared" si="32"/>
        <v>7.1994722159249569E-3</v>
      </c>
      <c r="S56" s="1"/>
      <c r="T56" s="1">
        <f>SUM(OSRRefT22_6x_0)</f>
        <v>31000</v>
      </c>
      <c r="U56" s="1"/>
      <c r="V56" s="5">
        <f t="shared" si="33"/>
        <v>2.1967120181405897E-2</v>
      </c>
      <c r="W56" s="1"/>
      <c r="X56" s="1">
        <f t="shared" si="34"/>
        <v>-17084.82</v>
      </c>
      <c r="Y56" s="1"/>
      <c r="Z56" s="5">
        <f t="shared" si="35"/>
        <v>-0.55112322580645157</v>
      </c>
    </row>
    <row r="57" spans="1:26" s="24" customFormat="1" hidden="1" outlineLevel="2" x14ac:dyDescent="0.25">
      <c r="A57" s="29"/>
      <c r="B57" s="11" t="str">
        <f>CONCATENATE("          ", "6399", " - ", "DONATION-ON CAMPUS")</f>
        <v xml:space="preserve">          6399 - DONATION-ON CAMPUS</v>
      </c>
      <c r="C57" s="11"/>
      <c r="D57" s="7">
        <v>9653.6200000000008</v>
      </c>
      <c r="E57" s="2"/>
      <c r="F57" s="6">
        <f t="shared" si="28"/>
        <v>6.7669006965758952E-3</v>
      </c>
      <c r="G57" s="2"/>
      <c r="H57" s="7">
        <v>15500</v>
      </c>
      <c r="I57" s="2"/>
      <c r="J57" s="6">
        <f t="shared" si="29"/>
        <v>1.3729450113378686E-2</v>
      </c>
      <c r="K57" s="2"/>
      <c r="L57" s="7">
        <f t="shared" si="30"/>
        <v>-5846.3799999999992</v>
      </c>
      <c r="M57" s="2"/>
      <c r="N57" s="6">
        <f t="shared" si="31"/>
        <v>-0.37718580645161287</v>
      </c>
      <c r="O57" s="11"/>
      <c r="P57" s="7">
        <v>13915.18</v>
      </c>
      <c r="Q57" s="2"/>
      <c r="R57" s="6">
        <f t="shared" si="32"/>
        <v>7.1994722159249569E-3</v>
      </c>
      <c r="S57" s="2"/>
      <c r="T57" s="7">
        <v>31000</v>
      </c>
      <c r="U57" s="2"/>
      <c r="V57" s="6">
        <f t="shared" si="33"/>
        <v>2.1967120181405897E-2</v>
      </c>
      <c r="W57" s="2"/>
      <c r="X57" s="7">
        <f t="shared" si="34"/>
        <v>-17084.82</v>
      </c>
      <c r="Y57" s="2"/>
      <c r="Z57" s="6">
        <f t="shared" si="35"/>
        <v>-0.55112322580645157</v>
      </c>
    </row>
    <row r="58" spans="1:26" s="28" customFormat="1" outlineLevel="1" collapsed="1" x14ac:dyDescent="0.25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14.49</v>
      </c>
      <c r="E58" s="1"/>
      <c r="F58" s="5">
        <f t="shared" si="28"/>
        <v>1.0157059330425758E-5</v>
      </c>
      <c r="G58" s="1"/>
      <c r="H58" s="1">
        <f>SUM(OSRRefH22_7x_0)</f>
        <v>400</v>
      </c>
      <c r="I58" s="1"/>
      <c r="J58" s="5">
        <f t="shared" si="29"/>
        <v>3.5430839002267573E-4</v>
      </c>
      <c r="K58" s="1"/>
      <c r="L58" s="1">
        <f t="shared" si="30"/>
        <v>-385.51</v>
      </c>
      <c r="M58" s="1"/>
      <c r="N58" s="5">
        <f t="shared" si="31"/>
        <v>-0.96377499999999994</v>
      </c>
      <c r="O58" s="14"/>
      <c r="P58" s="1">
        <f>SUM(OSRRefP22_7x_0)</f>
        <v>14.49</v>
      </c>
      <c r="Q58" s="1"/>
      <c r="R58" s="5">
        <f t="shared" si="32"/>
        <v>7.4968740906515496E-6</v>
      </c>
      <c r="S58" s="1"/>
      <c r="T58" s="1">
        <f>SUM(OSRRefT22_7x_0)</f>
        <v>800</v>
      </c>
      <c r="U58" s="1"/>
      <c r="V58" s="5">
        <f t="shared" si="33"/>
        <v>5.6689342403628119E-4</v>
      </c>
      <c r="W58" s="1"/>
      <c r="X58" s="1">
        <f t="shared" si="34"/>
        <v>-785.51</v>
      </c>
      <c r="Y58" s="1"/>
      <c r="Z58" s="5">
        <f t="shared" si="35"/>
        <v>-0.98188750000000002</v>
      </c>
    </row>
    <row r="59" spans="1:26" s="24" customFormat="1" hidden="1" outlineLevel="2" x14ac:dyDescent="0.25">
      <c r="A59" s="29"/>
      <c r="B59" s="11" t="str">
        <f>CONCATENATE("          ", "6277", " - ", "EMPLOYEE APPRECIATION")</f>
        <v xml:space="preserve">          6277 - EMPLOYEE APPRECIATION</v>
      </c>
      <c r="C59" s="11"/>
      <c r="D59" s="7">
        <v>14.49</v>
      </c>
      <c r="E59" s="2"/>
      <c r="F59" s="6">
        <f t="shared" si="28"/>
        <v>1.0157059330425758E-5</v>
      </c>
      <c r="G59" s="2"/>
      <c r="H59" s="7">
        <v>400</v>
      </c>
      <c r="I59" s="2"/>
      <c r="J59" s="6">
        <f t="shared" si="29"/>
        <v>3.5430839002267573E-4</v>
      </c>
      <c r="K59" s="2"/>
      <c r="L59" s="7">
        <f t="shared" si="30"/>
        <v>-385.51</v>
      </c>
      <c r="M59" s="2"/>
      <c r="N59" s="6">
        <f t="shared" si="31"/>
        <v>-0.96377499999999994</v>
      </c>
      <c r="O59" s="11"/>
      <c r="P59" s="7">
        <v>14.49</v>
      </c>
      <c r="Q59" s="2"/>
      <c r="R59" s="6">
        <f t="shared" si="32"/>
        <v>7.4968740906515496E-6</v>
      </c>
      <c r="S59" s="2"/>
      <c r="T59" s="7">
        <v>800</v>
      </c>
      <c r="U59" s="2"/>
      <c r="V59" s="6">
        <f t="shared" si="33"/>
        <v>5.6689342403628119E-4</v>
      </c>
      <c r="W59" s="2"/>
      <c r="X59" s="7">
        <f t="shared" si="34"/>
        <v>-785.51</v>
      </c>
      <c r="Y59" s="2"/>
      <c r="Z59" s="6">
        <f t="shared" si="35"/>
        <v>-0.98188750000000002</v>
      </c>
    </row>
    <row r="60" spans="1:26" s="28" customFormat="1" outlineLevel="1" collapsed="1" x14ac:dyDescent="0.25">
      <c r="A60" s="27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320.2</v>
      </c>
      <c r="E60" s="1"/>
      <c r="F60" s="5">
        <f t="shared" si="28"/>
        <v>2.2445068306434283E-4</v>
      </c>
      <c r="G60" s="1"/>
      <c r="H60" s="1">
        <f>SUM(OSRRefH22_8x_0)</f>
        <v>795</v>
      </c>
      <c r="I60" s="1"/>
      <c r="J60" s="5">
        <f t="shared" si="29"/>
        <v>7.0418792517006805E-4</v>
      </c>
      <c r="K60" s="1"/>
      <c r="L60" s="1">
        <f t="shared" si="30"/>
        <v>-474.8</v>
      </c>
      <c r="M60" s="1"/>
      <c r="N60" s="5">
        <f t="shared" si="31"/>
        <v>-0.59723270440251575</v>
      </c>
      <c r="O60" s="14"/>
      <c r="P60" s="1">
        <f>SUM(OSRRefP22_8x_0)</f>
        <v>5210.33</v>
      </c>
      <c r="Q60" s="1"/>
      <c r="R60" s="5">
        <f t="shared" si="32"/>
        <v>2.6957341601618005E-3</v>
      </c>
      <c r="S60" s="1"/>
      <c r="T60" s="1">
        <f>SUM(OSRRefT22_8x_0)</f>
        <v>2385</v>
      </c>
      <c r="U60" s="1"/>
      <c r="V60" s="5">
        <f t="shared" si="33"/>
        <v>1.6900510204081634E-3</v>
      </c>
      <c r="W60" s="1"/>
      <c r="X60" s="1">
        <f t="shared" si="34"/>
        <v>2825.33</v>
      </c>
      <c r="Y60" s="1"/>
      <c r="Z60" s="5">
        <f t="shared" si="35"/>
        <v>1.1846247379454926</v>
      </c>
    </row>
    <row r="61" spans="1:26" s="24" customFormat="1" hidden="1" outlineLevel="2" x14ac:dyDescent="0.25">
      <c r="A61" s="29"/>
      <c r="B61" s="11" t="str">
        <f>CONCATENATE("          ", "6351", " - ", "EQUIPMENT RENTAL")</f>
        <v xml:space="preserve">          6351 - EQUIPMENT RENTAL</v>
      </c>
      <c r="C61" s="11"/>
      <c r="D61" s="7">
        <v>320.2</v>
      </c>
      <c r="E61" s="2"/>
      <c r="F61" s="6">
        <f t="shared" si="28"/>
        <v>2.2445068306434283E-4</v>
      </c>
      <c r="G61" s="2"/>
      <c r="H61" s="7">
        <v>795</v>
      </c>
      <c r="I61" s="2"/>
      <c r="J61" s="6">
        <f t="shared" si="29"/>
        <v>7.0418792517006805E-4</v>
      </c>
      <c r="K61" s="2"/>
      <c r="L61" s="7">
        <f t="shared" si="30"/>
        <v>-474.8</v>
      </c>
      <c r="M61" s="2"/>
      <c r="N61" s="6">
        <f t="shared" si="31"/>
        <v>-0.59723270440251575</v>
      </c>
      <c r="O61" s="11"/>
      <c r="P61" s="7">
        <v>5210.33</v>
      </c>
      <c r="Q61" s="2"/>
      <c r="R61" s="6">
        <f t="shared" si="32"/>
        <v>2.6957341601618005E-3</v>
      </c>
      <c r="S61" s="2"/>
      <c r="T61" s="7">
        <v>2385</v>
      </c>
      <c r="U61" s="2"/>
      <c r="V61" s="6">
        <f t="shared" si="33"/>
        <v>1.6900510204081634E-3</v>
      </c>
      <c r="W61" s="2"/>
      <c r="X61" s="7">
        <f t="shared" si="34"/>
        <v>2825.33</v>
      </c>
      <c r="Y61" s="2"/>
      <c r="Z61" s="6">
        <f t="shared" si="35"/>
        <v>1.1846247379454926</v>
      </c>
    </row>
    <row r="62" spans="1:26" s="28" customFormat="1" outlineLevel="1" collapsed="1" x14ac:dyDescent="0.25">
      <c r="A62" s="27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5273</v>
      </c>
      <c r="E62" s="1"/>
      <c r="F62" s="5">
        <f t="shared" si="28"/>
        <v>3.696216276696689E-3</v>
      </c>
      <c r="G62" s="1"/>
      <c r="H62" s="1">
        <f>SUM(OSRRefH22_9x_0)</f>
        <v>560</v>
      </c>
      <c r="I62" s="1"/>
      <c r="J62" s="5">
        <f t="shared" si="29"/>
        <v>4.96031746031746E-4</v>
      </c>
      <c r="K62" s="1"/>
      <c r="L62" s="1">
        <f t="shared" si="30"/>
        <v>4713</v>
      </c>
      <c r="M62" s="1"/>
      <c r="N62" s="5">
        <f t="shared" si="31"/>
        <v>8.4160714285714278</v>
      </c>
      <c r="O62" s="14"/>
      <c r="P62" s="1">
        <f>SUM(OSRRefP22_9x_0)</f>
        <v>10875.1</v>
      </c>
      <c r="Q62" s="1"/>
      <c r="R62" s="5">
        <f t="shared" si="32"/>
        <v>5.6265876758622956E-3</v>
      </c>
      <c r="S62" s="1"/>
      <c r="T62" s="1">
        <f>SUM(OSRRefT22_9x_0)</f>
        <v>6540</v>
      </c>
      <c r="U62" s="1"/>
      <c r="V62" s="5">
        <f t="shared" si="33"/>
        <v>4.6343537414965984E-3</v>
      </c>
      <c r="W62" s="1"/>
      <c r="X62" s="1">
        <f t="shared" si="34"/>
        <v>4335.1000000000004</v>
      </c>
      <c r="Y62" s="1"/>
      <c r="Z62" s="5">
        <f t="shared" si="35"/>
        <v>0.66285932721712548</v>
      </c>
    </row>
    <row r="63" spans="1:26" s="24" customFormat="1" hidden="1" outlineLevel="2" x14ac:dyDescent="0.25">
      <c r="A63" s="29"/>
      <c r="B63" s="11" t="str">
        <f>CONCATENATE("          ", "6279", " - ", "GENERAL EXPENSE")</f>
        <v xml:space="preserve">          6279 - GENERAL EXPENSE</v>
      </c>
      <c r="C63" s="11"/>
      <c r="D63" s="7">
        <v>5273</v>
      </c>
      <c r="E63" s="2"/>
      <c r="F63" s="6">
        <f t="shared" si="28"/>
        <v>3.696216276696689E-3</v>
      </c>
      <c r="G63" s="2"/>
      <c r="H63" s="7">
        <v>560</v>
      </c>
      <c r="I63" s="2"/>
      <c r="J63" s="6">
        <f t="shared" si="29"/>
        <v>4.96031746031746E-4</v>
      </c>
      <c r="K63" s="2"/>
      <c r="L63" s="7">
        <f t="shared" si="30"/>
        <v>4713</v>
      </c>
      <c r="M63" s="2"/>
      <c r="N63" s="6">
        <f t="shared" si="31"/>
        <v>8.4160714285714278</v>
      </c>
      <c r="O63" s="11"/>
      <c r="P63" s="7">
        <v>10875.1</v>
      </c>
      <c r="Q63" s="2"/>
      <c r="R63" s="6">
        <f t="shared" si="32"/>
        <v>5.6265876758622956E-3</v>
      </c>
      <c r="S63" s="2"/>
      <c r="T63" s="7">
        <v>6540</v>
      </c>
      <c r="U63" s="2"/>
      <c r="V63" s="6">
        <f t="shared" si="33"/>
        <v>4.6343537414965984E-3</v>
      </c>
      <c r="W63" s="2"/>
      <c r="X63" s="7">
        <f t="shared" si="34"/>
        <v>4335.1000000000004</v>
      </c>
      <c r="Y63" s="2"/>
      <c r="Z63" s="6">
        <f t="shared" si="35"/>
        <v>0.66285932721712548</v>
      </c>
    </row>
    <row r="64" spans="1:26" s="28" customFormat="1" outlineLevel="1" collapsed="1" x14ac:dyDescent="0.25">
      <c r="A64" s="27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SUM(OSRRefD22_10x_0)</f>
        <v>5.21</v>
      </c>
      <c r="E64" s="1"/>
      <c r="F64" s="5">
        <f t="shared" si="28"/>
        <v>3.6520551491730988E-6</v>
      </c>
      <c r="G64" s="1"/>
      <c r="H64" s="1">
        <f>SUM(OSRRefH22_10x_0)</f>
        <v>10</v>
      </c>
      <c r="I64" s="1"/>
      <c r="J64" s="5">
        <f t="shared" si="29"/>
        <v>8.8577097505668937E-6</v>
      </c>
      <c r="K64" s="1"/>
      <c r="L64" s="1">
        <f t="shared" si="30"/>
        <v>-4.79</v>
      </c>
      <c r="M64" s="1"/>
      <c r="N64" s="5">
        <f t="shared" si="31"/>
        <v>-0.47899999999999998</v>
      </c>
      <c r="O64" s="14"/>
      <c r="P64" s="1">
        <f>SUM(OSRRefP22_10x_0)</f>
        <v>15.64</v>
      </c>
      <c r="Q64" s="1"/>
      <c r="R64" s="5">
        <f t="shared" si="32"/>
        <v>8.0918640978461165E-6</v>
      </c>
      <c r="S64" s="1"/>
      <c r="T64" s="1">
        <f>SUM(OSRRefT22_10x_0)</f>
        <v>30</v>
      </c>
      <c r="U64" s="1"/>
      <c r="V64" s="5">
        <f t="shared" si="33"/>
        <v>2.1258503401360543E-5</v>
      </c>
      <c r="W64" s="1"/>
      <c r="X64" s="1">
        <f t="shared" si="34"/>
        <v>-14.36</v>
      </c>
      <c r="Y64" s="1"/>
      <c r="Z64" s="5">
        <f t="shared" si="35"/>
        <v>-0.47866666666666663</v>
      </c>
    </row>
    <row r="65" spans="1:26" s="24" customFormat="1" hidden="1" outlineLevel="2" x14ac:dyDescent="0.25">
      <c r="A65" s="29"/>
      <c r="B65" s="11" t="str">
        <f>CONCATENATE("          ", "6314", " - ", "LIABILITY INSURANCE")</f>
        <v xml:space="preserve">          6314 - LIABILITY INSURANCE</v>
      </c>
      <c r="C65" s="11"/>
      <c r="D65" s="7">
        <v>5.21</v>
      </c>
      <c r="E65" s="2"/>
      <c r="F65" s="6">
        <f t="shared" si="28"/>
        <v>3.6520551491730988E-6</v>
      </c>
      <c r="G65" s="2"/>
      <c r="H65" s="7">
        <v>10</v>
      </c>
      <c r="I65" s="2"/>
      <c r="J65" s="6">
        <f t="shared" si="29"/>
        <v>8.8577097505668937E-6</v>
      </c>
      <c r="K65" s="2"/>
      <c r="L65" s="7">
        <f t="shared" si="30"/>
        <v>-4.79</v>
      </c>
      <c r="M65" s="2"/>
      <c r="N65" s="6">
        <f t="shared" si="31"/>
        <v>-0.47899999999999998</v>
      </c>
      <c r="O65" s="11"/>
      <c r="P65" s="7">
        <v>15.64</v>
      </c>
      <c r="Q65" s="2"/>
      <c r="R65" s="6">
        <f t="shared" si="32"/>
        <v>8.0918640978461165E-6</v>
      </c>
      <c r="S65" s="2"/>
      <c r="T65" s="7">
        <v>30</v>
      </c>
      <c r="U65" s="2"/>
      <c r="V65" s="6">
        <f t="shared" si="33"/>
        <v>2.1258503401360543E-5</v>
      </c>
      <c r="W65" s="2"/>
      <c r="X65" s="7">
        <f t="shared" si="34"/>
        <v>-14.36</v>
      </c>
      <c r="Y65" s="2"/>
      <c r="Z65" s="6">
        <f t="shared" si="35"/>
        <v>-0.47866666666666663</v>
      </c>
    </row>
    <row r="66" spans="1:26" s="28" customFormat="1" outlineLevel="1" collapsed="1" x14ac:dyDescent="0.25">
      <c r="A66" s="27"/>
      <c r="B66" s="14" t="str">
        <f>CONCATENATE("     ","R/H Commissions                                   ")</f>
        <v xml:space="preserve">     R/H Commissions                                   </v>
      </c>
      <c r="C66" s="14"/>
      <c r="D66" s="1">
        <f>SUM(OSRRefD22_11x_0)</f>
        <v>102646.99</v>
      </c>
      <c r="E66" s="1"/>
      <c r="F66" s="5">
        <f t="shared" si="28"/>
        <v>7.1952489131788783E-2</v>
      </c>
      <c r="G66" s="1"/>
      <c r="H66" s="1">
        <f>SUM(OSRRefH22_11x_0)</f>
        <v>90317</v>
      </c>
      <c r="I66" s="1"/>
      <c r="J66" s="5">
        <f t="shared" si="29"/>
        <v>8.000017715419501E-2</v>
      </c>
      <c r="K66" s="1"/>
      <c r="L66" s="1">
        <f t="shared" si="30"/>
        <v>12329.990000000005</v>
      </c>
      <c r="M66" s="1"/>
      <c r="N66" s="5">
        <f t="shared" si="31"/>
        <v>0.13651903849773581</v>
      </c>
      <c r="O66" s="14"/>
      <c r="P66" s="1">
        <f>SUM(OSRRefP22_11x_0)</f>
        <v>142802.99</v>
      </c>
      <c r="Q66" s="1"/>
      <c r="R66" s="5">
        <f t="shared" si="32"/>
        <v>7.3883784389135412E-2</v>
      </c>
      <c r="S66" s="1"/>
      <c r="T66" s="1">
        <f>SUM(OSRRefT22_11x_0)</f>
        <v>112896</v>
      </c>
      <c r="U66" s="1"/>
      <c r="V66" s="5">
        <f t="shared" si="33"/>
        <v>0.08</v>
      </c>
      <c r="W66" s="1"/>
      <c r="X66" s="1">
        <f t="shared" si="34"/>
        <v>29906.989999999991</v>
      </c>
      <c r="Y66" s="1"/>
      <c r="Z66" s="5">
        <f t="shared" si="35"/>
        <v>0.26490743693310648</v>
      </c>
    </row>
    <row r="67" spans="1:26" s="24" customFormat="1" hidden="1" outlineLevel="2" x14ac:dyDescent="0.25">
      <c r="A67" s="29"/>
      <c r="B67" s="11" t="str">
        <f>CONCATENATE("          ", "6387", " - ", "COMMISSION DUE HOUSING")</f>
        <v xml:space="preserve">          6387 - COMMISSION DUE HOUSING</v>
      </c>
      <c r="C67" s="11"/>
      <c r="D67" s="7">
        <v>102646.99</v>
      </c>
      <c r="E67" s="2"/>
      <c r="F67" s="6">
        <f t="shared" si="28"/>
        <v>7.1952489131788783E-2</v>
      </c>
      <c r="G67" s="2"/>
      <c r="H67" s="7">
        <v>90317</v>
      </c>
      <c r="I67" s="2"/>
      <c r="J67" s="6">
        <f t="shared" si="29"/>
        <v>8.000017715419501E-2</v>
      </c>
      <c r="K67" s="2"/>
      <c r="L67" s="7">
        <f t="shared" si="30"/>
        <v>12329.990000000005</v>
      </c>
      <c r="M67" s="2"/>
      <c r="N67" s="6">
        <f t="shared" si="31"/>
        <v>0.13651903849773581</v>
      </c>
      <c r="O67" s="11"/>
      <c r="P67" s="7">
        <v>142802.99</v>
      </c>
      <c r="Q67" s="2"/>
      <c r="R67" s="6">
        <f t="shared" si="32"/>
        <v>7.3883784389135412E-2</v>
      </c>
      <c r="S67" s="2"/>
      <c r="T67" s="7">
        <v>112896</v>
      </c>
      <c r="U67" s="2"/>
      <c r="V67" s="6">
        <f t="shared" si="33"/>
        <v>0.08</v>
      </c>
      <c r="W67" s="2"/>
      <c r="X67" s="7">
        <f t="shared" si="34"/>
        <v>29906.989999999991</v>
      </c>
      <c r="Y67" s="2"/>
      <c r="Z67" s="6">
        <f t="shared" si="35"/>
        <v>0.26490743693310648</v>
      </c>
    </row>
    <row r="68" spans="1:26" s="28" customFormat="1" outlineLevel="1" collapsed="1" x14ac:dyDescent="0.25">
      <c r="A68" s="27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SUM(OSRRefD22_12x_0)</f>
        <v>3767.52</v>
      </c>
      <c r="E68" s="1"/>
      <c r="F68" s="5">
        <f t="shared" si="28"/>
        <v>2.6409195423440753E-3</v>
      </c>
      <c r="G68" s="1"/>
      <c r="H68" s="1">
        <f>SUM(OSRRefH22_12x_0)</f>
        <v>7550</v>
      </c>
      <c r="I68" s="1"/>
      <c r="J68" s="5">
        <f t="shared" si="29"/>
        <v>6.6875708616780044E-3</v>
      </c>
      <c r="K68" s="1"/>
      <c r="L68" s="1">
        <f t="shared" si="30"/>
        <v>-3782.48</v>
      </c>
      <c r="M68" s="1"/>
      <c r="N68" s="5">
        <f t="shared" si="31"/>
        <v>-0.50099072847682125</v>
      </c>
      <c r="O68" s="14"/>
      <c r="P68" s="1">
        <f>SUM(OSRRefP22_12x_0)</f>
        <v>11438.82</v>
      </c>
      <c r="Q68" s="1"/>
      <c r="R68" s="5">
        <f t="shared" si="32"/>
        <v>5.918246603562923E-3</v>
      </c>
      <c r="S68" s="1"/>
      <c r="T68" s="1">
        <f>SUM(OSRRefT22_12x_0)</f>
        <v>17450</v>
      </c>
      <c r="U68" s="1"/>
      <c r="V68" s="5">
        <f t="shared" si="33"/>
        <v>1.2365362811791384E-2</v>
      </c>
      <c r="W68" s="1"/>
      <c r="X68" s="1">
        <f t="shared" si="34"/>
        <v>-6011.18</v>
      </c>
      <c r="Y68" s="1"/>
      <c r="Z68" s="5">
        <f t="shared" si="35"/>
        <v>-0.34448022922636107</v>
      </c>
    </row>
    <row r="69" spans="1:26" s="24" customFormat="1" hidden="1" outlineLevel="2" x14ac:dyDescent="0.25">
      <c r="A69" s="29"/>
      <c r="B69" s="11" t="str">
        <f>CONCATENATE("          ", "6371", " - ", "COMPUTER SOFTWARE MAINTENANCE")</f>
        <v xml:space="preserve">          6371 - COMPUTER SOFTWARE MAINTENANCE</v>
      </c>
      <c r="C69" s="11"/>
      <c r="D69" s="7">
        <v>3500</v>
      </c>
      <c r="E69" s="2"/>
      <c r="F69" s="6">
        <f t="shared" si="28"/>
        <v>2.4533959735327918E-3</v>
      </c>
      <c r="G69" s="2"/>
      <c r="H69" s="7">
        <v>3500</v>
      </c>
      <c r="I69" s="2"/>
      <c r="J69" s="6">
        <f t="shared" si="29"/>
        <v>3.1001984126984125E-3</v>
      </c>
      <c r="K69" s="2"/>
      <c r="L69" s="7">
        <f t="shared" si="30"/>
        <v>0</v>
      </c>
      <c r="M69" s="2"/>
      <c r="N69" s="6">
        <f t="shared" si="31"/>
        <v>0</v>
      </c>
      <c r="O69" s="11"/>
      <c r="P69" s="7">
        <v>10500</v>
      </c>
      <c r="Q69" s="2"/>
      <c r="R69" s="6">
        <f t="shared" si="32"/>
        <v>5.4325174569938763E-3</v>
      </c>
      <c r="S69" s="2"/>
      <c r="T69" s="7">
        <v>10500</v>
      </c>
      <c r="U69" s="2"/>
      <c r="V69" s="6">
        <f t="shared" si="33"/>
        <v>7.4404761904761901E-3</v>
      </c>
      <c r="W69" s="2"/>
      <c r="X69" s="7">
        <f t="shared" si="34"/>
        <v>0</v>
      </c>
      <c r="Y69" s="2"/>
      <c r="Z69" s="6">
        <f t="shared" si="35"/>
        <v>0</v>
      </c>
    </row>
    <row r="70" spans="1:26" s="24" customFormat="1" hidden="1" outlineLevel="2" x14ac:dyDescent="0.25">
      <c r="A70" s="29"/>
      <c r="B70" s="11" t="str">
        <f>CONCATENATE("          ", "6373", " - ", "MAINTENANCE CONTRACTS")</f>
        <v xml:space="preserve">          6373 - MAINTENANCE CONTRACTS</v>
      </c>
      <c r="C70" s="11"/>
      <c r="D70" s="7">
        <v>239.52</v>
      </c>
      <c r="E70" s="2"/>
      <c r="F70" s="6">
        <f t="shared" si="28"/>
        <v>1.6789640102302125E-4</v>
      </c>
      <c r="G70" s="2"/>
      <c r="H70" s="7">
        <v>3500</v>
      </c>
      <c r="I70" s="2"/>
      <c r="J70" s="6">
        <f t="shared" si="29"/>
        <v>3.1001984126984125E-3</v>
      </c>
      <c r="K70" s="2"/>
      <c r="L70" s="7">
        <f t="shared" si="30"/>
        <v>-3260.48</v>
      </c>
      <c r="M70" s="2"/>
      <c r="N70" s="6">
        <f t="shared" si="31"/>
        <v>-0.93156571428571433</v>
      </c>
      <c r="O70" s="11"/>
      <c r="P70" s="7">
        <v>253.52</v>
      </c>
      <c r="Q70" s="2"/>
      <c r="R70" s="6">
        <f t="shared" si="32"/>
        <v>1.3116684054257976E-4</v>
      </c>
      <c r="S70" s="2"/>
      <c r="T70" s="7">
        <v>5300</v>
      </c>
      <c r="U70" s="2"/>
      <c r="V70" s="6">
        <f t="shared" si="33"/>
        <v>3.7556689342403628E-3</v>
      </c>
      <c r="W70" s="2"/>
      <c r="X70" s="7">
        <f t="shared" si="34"/>
        <v>-5046.4799999999996</v>
      </c>
      <c r="Y70" s="2"/>
      <c r="Z70" s="6">
        <f t="shared" si="35"/>
        <v>-0.95216603773584896</v>
      </c>
    </row>
    <row r="71" spans="1:26" s="24" customFormat="1" hidden="1" outlineLevel="2" x14ac:dyDescent="0.25">
      <c r="A71" s="29"/>
      <c r="B71" s="11" t="str">
        <f>CONCATENATE("          ", "6375", " - ", "OUTSIDE REPAIRS &amp; MAINTENANCE")</f>
        <v xml:space="preserve">          6375 - OUTSIDE REPAIRS &amp; MAINTENANCE</v>
      </c>
      <c r="C71" s="11"/>
      <c r="D71" s="7">
        <v>28</v>
      </c>
      <c r="E71" s="2"/>
      <c r="F71" s="6">
        <f t="shared" si="28"/>
        <v>1.9627167788262336E-5</v>
      </c>
      <c r="G71" s="2"/>
      <c r="H71" s="7">
        <v>550</v>
      </c>
      <c r="I71" s="2"/>
      <c r="J71" s="6">
        <f t="shared" si="29"/>
        <v>4.8717403628117912E-4</v>
      </c>
      <c r="K71" s="2"/>
      <c r="L71" s="7">
        <f t="shared" si="30"/>
        <v>-522</v>
      </c>
      <c r="M71" s="2"/>
      <c r="N71" s="6">
        <f t="shared" si="31"/>
        <v>-0.9490909090909091</v>
      </c>
      <c r="O71" s="11"/>
      <c r="P71" s="7">
        <v>685.3</v>
      </c>
      <c r="Q71" s="2"/>
      <c r="R71" s="6">
        <f t="shared" si="32"/>
        <v>3.5456230602646697E-4</v>
      </c>
      <c r="S71" s="2"/>
      <c r="T71" s="7">
        <v>1650</v>
      </c>
      <c r="U71" s="2"/>
      <c r="V71" s="6">
        <f t="shared" si="33"/>
        <v>1.1692176870748299E-3</v>
      </c>
      <c r="W71" s="2"/>
      <c r="X71" s="7">
        <f t="shared" si="34"/>
        <v>-964.7</v>
      </c>
      <c r="Y71" s="2"/>
      <c r="Z71" s="6">
        <f t="shared" si="35"/>
        <v>-0.58466666666666667</v>
      </c>
    </row>
    <row r="72" spans="1:26" s="28" customFormat="1" outlineLevel="1" collapsed="1" x14ac:dyDescent="0.25">
      <c r="A72" s="27"/>
      <c r="B72" s="14" t="str">
        <f>CONCATENATE("     ","Services                                          ")</f>
        <v xml:space="preserve">     Services                                          </v>
      </c>
      <c r="C72" s="14"/>
      <c r="D72" s="1">
        <f>SUM(OSRRefD22_13x_0)</f>
        <v>13095.319999999998</v>
      </c>
      <c r="E72" s="1"/>
      <c r="F72" s="5">
        <f t="shared" ref="F72:F76" si="36">IF(D$12=0,0,D72/D$12)</f>
        <v>9.1794301028924104E-3</v>
      </c>
      <c r="G72" s="1"/>
      <c r="H72" s="1">
        <f>SUM(OSRRefH22_13x_0)</f>
        <v>21272</v>
      </c>
      <c r="I72" s="1"/>
      <c r="J72" s="5">
        <f t="shared" ref="J72:J76" si="37">IF(H$12=0,0,H72/H$12)</f>
        <v>1.8842120181405894E-2</v>
      </c>
      <c r="K72" s="1"/>
      <c r="L72" s="1">
        <f t="shared" ref="L72:L76" si="38">+D72-H72</f>
        <v>-8176.6800000000021</v>
      </c>
      <c r="M72" s="1"/>
      <c r="N72" s="5">
        <f t="shared" ref="N72:N76" si="39">IF(H72=0,0,L72/H72)</f>
        <v>-0.38438698758931938</v>
      </c>
      <c r="O72" s="14"/>
      <c r="P72" s="1">
        <f>SUM(OSRRefP22_13x_0)</f>
        <v>39978.559999999998</v>
      </c>
      <c r="Q72" s="1"/>
      <c r="R72" s="5">
        <f t="shared" ref="R72:R76" si="40">IF(P$12=0,0,P72/P$12)</f>
        <v>2.0684211914807342E-2</v>
      </c>
      <c r="S72" s="1"/>
      <c r="T72" s="1">
        <f>SUM(OSRRefT22_13x_0)</f>
        <v>62216</v>
      </c>
      <c r="U72" s="1"/>
      <c r="V72" s="5">
        <f t="shared" ref="V72:V76" si="41">IF(T$12=0,0,T72/T$12)</f>
        <v>4.4087301587301585E-2</v>
      </c>
      <c r="W72" s="1"/>
      <c r="X72" s="1">
        <f t="shared" ref="X72:X76" si="42">+P72-T72</f>
        <v>-22237.440000000002</v>
      </c>
      <c r="Y72" s="1"/>
      <c r="Z72" s="5">
        <f t="shared" ref="Z72:Z76" si="43">IF(T72=0,0,X72/T72)</f>
        <v>-0.35742317088851744</v>
      </c>
    </row>
    <row r="73" spans="1:26" s="24" customFormat="1" hidden="1" outlineLevel="2" x14ac:dyDescent="0.25">
      <c r="A73" s="29"/>
      <c r="B73" s="11" t="str">
        <f>CONCATENATE("          ", "6282", " - ", "JANITORIAL/EXTERMINATOR EXPENS")</f>
        <v xml:space="preserve">          6282 - JANITORIAL/EXTERMINATOR EXPENS</v>
      </c>
      <c r="C73" s="11"/>
      <c r="D73" s="7">
        <v>2336.4699999999998</v>
      </c>
      <c r="E73" s="2"/>
      <c r="F73" s="6">
        <f t="shared" si="36"/>
        <v>1.6377960257943319E-3</v>
      </c>
      <c r="G73" s="2"/>
      <c r="H73" s="7">
        <v>1570</v>
      </c>
      <c r="I73" s="2"/>
      <c r="J73" s="6">
        <f t="shared" si="37"/>
        <v>1.3906604308390022E-3</v>
      </c>
      <c r="K73" s="2"/>
      <c r="L73" s="7">
        <f t="shared" si="38"/>
        <v>766.4699999999998</v>
      </c>
      <c r="M73" s="2"/>
      <c r="N73" s="6">
        <f t="shared" si="39"/>
        <v>0.48819745222929922</v>
      </c>
      <c r="O73" s="11"/>
      <c r="P73" s="7">
        <v>4266.3100000000004</v>
      </c>
      <c r="Q73" s="2"/>
      <c r="R73" s="6">
        <f t="shared" si="40"/>
        <v>2.2073146239950043E-3</v>
      </c>
      <c r="S73" s="2"/>
      <c r="T73" s="7">
        <v>4710</v>
      </c>
      <c r="U73" s="2"/>
      <c r="V73" s="6">
        <f t="shared" si="41"/>
        <v>3.3375850340136054E-3</v>
      </c>
      <c r="W73" s="2"/>
      <c r="X73" s="7">
        <f t="shared" si="42"/>
        <v>-443.6899999999996</v>
      </c>
      <c r="Y73" s="2"/>
      <c r="Z73" s="6">
        <f t="shared" si="43"/>
        <v>-9.4201698513800336E-2</v>
      </c>
    </row>
    <row r="74" spans="1:26" s="24" customFormat="1" hidden="1" outlineLevel="2" x14ac:dyDescent="0.25">
      <c r="A74" s="29"/>
      <c r="B74" s="11" t="str">
        <f>CONCATENATE("          ", "6284", " - ", "TRASH REMOVAL EXPENSE")</f>
        <v xml:space="preserve">          6284 - TRASH REMOVAL EXPENSE</v>
      </c>
      <c r="C74" s="11"/>
      <c r="D74" s="7"/>
      <c r="E74" s="2"/>
      <c r="F74" s="6">
        <f t="shared" si="36"/>
        <v>0</v>
      </c>
      <c r="G74" s="2"/>
      <c r="H74" s="7">
        <v>600</v>
      </c>
      <c r="I74" s="2"/>
      <c r="J74" s="6">
        <f t="shared" si="37"/>
        <v>5.3146258503401365E-4</v>
      </c>
      <c r="K74" s="2"/>
      <c r="L74" s="7">
        <f t="shared" si="38"/>
        <v>-600</v>
      </c>
      <c r="M74" s="2"/>
      <c r="N74" s="6">
        <f t="shared" si="39"/>
        <v>-1</v>
      </c>
      <c r="O74" s="11"/>
      <c r="P74" s="7"/>
      <c r="Q74" s="2"/>
      <c r="R74" s="6">
        <f t="shared" si="40"/>
        <v>0</v>
      </c>
      <c r="S74" s="2"/>
      <c r="T74" s="7">
        <v>1800</v>
      </c>
      <c r="U74" s="2"/>
      <c r="V74" s="6">
        <f t="shared" si="41"/>
        <v>1.2755102040816326E-3</v>
      </c>
      <c r="W74" s="2"/>
      <c r="X74" s="7">
        <f t="shared" si="42"/>
        <v>-1800</v>
      </c>
      <c r="Y74" s="2"/>
      <c r="Z74" s="6">
        <f t="shared" si="43"/>
        <v>-1</v>
      </c>
    </row>
    <row r="75" spans="1:26" s="24" customFormat="1" hidden="1" outlineLevel="2" x14ac:dyDescent="0.25">
      <c r="A75" s="29"/>
      <c r="B75" s="11" t="str">
        <f>CONCATENATE("          ", "6285", " - ", "JANITORIAL SERVICES")</f>
        <v xml:space="preserve">          6285 - JANITORIAL SERVICES</v>
      </c>
      <c r="C75" s="11"/>
      <c r="D75" s="7">
        <v>9589.0499999999993</v>
      </c>
      <c r="E75" s="2"/>
      <c r="F75" s="6">
        <f t="shared" si="36"/>
        <v>6.7216390457156047E-3</v>
      </c>
      <c r="G75" s="2"/>
      <c r="H75" s="7">
        <v>14335</v>
      </c>
      <c r="I75" s="2"/>
      <c r="J75" s="6">
        <f t="shared" si="37"/>
        <v>1.2697526927437641E-2</v>
      </c>
      <c r="K75" s="2"/>
      <c r="L75" s="7">
        <f t="shared" si="38"/>
        <v>-4745.9500000000007</v>
      </c>
      <c r="M75" s="2"/>
      <c r="N75" s="6">
        <f t="shared" si="39"/>
        <v>-0.33107429368678065</v>
      </c>
      <c r="O75" s="11"/>
      <c r="P75" s="7">
        <v>31276.33</v>
      </c>
      <c r="Q75" s="2"/>
      <c r="R75" s="6">
        <f t="shared" si="40"/>
        <v>1.6181829401495363E-2</v>
      </c>
      <c r="S75" s="2"/>
      <c r="T75" s="7">
        <v>43005</v>
      </c>
      <c r="U75" s="2"/>
      <c r="V75" s="6">
        <f t="shared" si="41"/>
        <v>3.0474064625850339E-2</v>
      </c>
      <c r="W75" s="2"/>
      <c r="X75" s="7">
        <f t="shared" si="42"/>
        <v>-11728.669999999998</v>
      </c>
      <c r="Y75" s="2"/>
      <c r="Z75" s="6">
        <f t="shared" si="43"/>
        <v>-0.27272805487733981</v>
      </c>
    </row>
    <row r="76" spans="1:26" s="24" customFormat="1" hidden="1" outlineLevel="2" x14ac:dyDescent="0.25">
      <c r="A76" s="29"/>
      <c r="B76" s="11" t="str">
        <f>CONCATENATE("          ", "6286", " - ", "LAUNDRY EXPENSE")</f>
        <v xml:space="preserve">          6286 - LAUNDRY EXPENSE</v>
      </c>
      <c r="C76" s="11"/>
      <c r="D76" s="7">
        <v>1169.8</v>
      </c>
      <c r="E76" s="2"/>
      <c r="F76" s="6">
        <f t="shared" si="36"/>
        <v>8.1999503138247421E-4</v>
      </c>
      <c r="G76" s="2"/>
      <c r="H76" s="7">
        <v>4767</v>
      </c>
      <c r="I76" s="2"/>
      <c r="J76" s="6">
        <f t="shared" si="37"/>
        <v>4.2224702380952378E-3</v>
      </c>
      <c r="K76" s="2"/>
      <c r="L76" s="7">
        <f t="shared" si="38"/>
        <v>-3597.2</v>
      </c>
      <c r="M76" s="2"/>
      <c r="N76" s="6">
        <f t="shared" si="39"/>
        <v>-0.75460457310677576</v>
      </c>
      <c r="O76" s="11"/>
      <c r="P76" s="7">
        <v>4435.92</v>
      </c>
      <c r="Q76" s="2"/>
      <c r="R76" s="6">
        <f t="shared" si="40"/>
        <v>2.2950678893169786E-3</v>
      </c>
      <c r="S76" s="2"/>
      <c r="T76" s="7">
        <v>12701</v>
      </c>
      <c r="U76" s="2"/>
      <c r="V76" s="6">
        <f t="shared" si="41"/>
        <v>9.0001417233560085E-3</v>
      </c>
      <c r="W76" s="2"/>
      <c r="X76" s="7">
        <f t="shared" si="42"/>
        <v>-8265.08</v>
      </c>
      <c r="Y76" s="2"/>
      <c r="Z76" s="6">
        <f t="shared" si="43"/>
        <v>-0.65074246122352575</v>
      </c>
    </row>
    <row r="77" spans="1:26" s="28" customFormat="1" outlineLevel="1" collapsed="1" x14ac:dyDescent="0.25">
      <c r="A77" s="27"/>
      <c r="B77" s="14" t="str">
        <f>CONCATENATE("     ","Supplies                                          ")</f>
        <v xml:space="preserve">     Supplies                                          </v>
      </c>
      <c r="C77" s="14"/>
      <c r="D77" s="1">
        <f>SUM(OSRRefD22_14x_0)</f>
        <v>48540.799999999996</v>
      </c>
      <c r="E77" s="1"/>
      <c r="F77" s="5">
        <f t="shared" ref="F77:F85" si="44">IF(D$12=0,0,D77/D$12)</f>
        <v>3.4025658077731578E-2</v>
      </c>
      <c r="G77" s="1"/>
      <c r="H77" s="1">
        <f>SUM(OSRRefH22_14x_0)</f>
        <v>30250</v>
      </c>
      <c r="I77" s="1"/>
      <c r="J77" s="5">
        <f t="shared" ref="J77:J85" si="45">IF(H$12=0,0,H77/H$12)</f>
        <v>2.6794571995464853E-2</v>
      </c>
      <c r="K77" s="1"/>
      <c r="L77" s="1">
        <f t="shared" ref="L77:L85" si="46">+D77-H77</f>
        <v>18290.799999999996</v>
      </c>
      <c r="M77" s="1"/>
      <c r="N77" s="5">
        <f t="shared" ref="N77:N85" si="47">IF(H77=0,0,L77/H77)</f>
        <v>0.60465454545454533</v>
      </c>
      <c r="O77" s="14"/>
      <c r="P77" s="1">
        <f>SUM(OSRRefP22_14x_0)</f>
        <v>76661.100000000006</v>
      </c>
      <c r="Q77" s="1"/>
      <c r="R77" s="5">
        <f t="shared" ref="R77:R85" si="48">IF(P$12=0,0,P77/P$12)</f>
        <v>3.9663120383081264E-2</v>
      </c>
      <c r="S77" s="1"/>
      <c r="T77" s="1">
        <f>SUM(OSRRefT22_14x_0)</f>
        <v>95750</v>
      </c>
      <c r="U77" s="1"/>
      <c r="V77" s="5">
        <f t="shared" ref="V77:V85" si="49">IF(T$12=0,0,T77/T$12)</f>
        <v>6.7850056689342408E-2</v>
      </c>
      <c r="W77" s="1"/>
      <c r="X77" s="1">
        <f t="shared" ref="X77:X85" si="50">+P77-T77</f>
        <v>-19088.899999999994</v>
      </c>
      <c r="Y77" s="1"/>
      <c r="Z77" s="5">
        <f t="shared" ref="Z77:Z85" si="51">IF(T77=0,0,X77/T77)</f>
        <v>-0.19936187989556128</v>
      </c>
    </row>
    <row r="78" spans="1:26" s="24" customFormat="1" hidden="1" outlineLevel="2" x14ac:dyDescent="0.25">
      <c r="A78" s="29"/>
      <c r="B78" s="11" t="str">
        <f>CONCATENATE("          ", "6234", " - ", "EXPENDABLE SUPPLIES &amp; EQUIPMEN")</f>
        <v xml:space="preserve">          6234 - EXPENDABLE SUPPLIES &amp; EQUIPMEN</v>
      </c>
      <c r="C78" s="11"/>
      <c r="D78" s="7">
        <v>21.98</v>
      </c>
      <c r="E78" s="2"/>
      <c r="F78" s="6">
        <f t="shared" si="44"/>
        <v>1.5407326713785932E-5</v>
      </c>
      <c r="G78" s="2"/>
      <c r="H78" s="7">
        <v>342</v>
      </c>
      <c r="I78" s="2"/>
      <c r="J78" s="6">
        <f t="shared" si="45"/>
        <v>3.0293367346938776E-4</v>
      </c>
      <c r="K78" s="2"/>
      <c r="L78" s="7">
        <f t="shared" si="46"/>
        <v>-320.02</v>
      </c>
      <c r="M78" s="2"/>
      <c r="N78" s="6">
        <f t="shared" si="47"/>
        <v>-0.93573099415204675</v>
      </c>
      <c r="O78" s="11"/>
      <c r="P78" s="7">
        <v>21.98</v>
      </c>
      <c r="Q78" s="2"/>
      <c r="R78" s="6">
        <f t="shared" si="48"/>
        <v>1.1372069876640514E-5</v>
      </c>
      <c r="S78" s="2"/>
      <c r="T78" s="7">
        <v>1026</v>
      </c>
      <c r="U78" s="2"/>
      <c r="V78" s="6">
        <f t="shared" si="49"/>
        <v>7.2704081632653066E-4</v>
      </c>
      <c r="W78" s="2"/>
      <c r="X78" s="7">
        <f t="shared" si="50"/>
        <v>-1004.02</v>
      </c>
      <c r="Y78" s="2"/>
      <c r="Z78" s="6">
        <f t="shared" si="51"/>
        <v>-0.97857699805068221</v>
      </c>
    </row>
    <row r="79" spans="1:26" s="24" customFormat="1" hidden="1" outlineLevel="2" x14ac:dyDescent="0.25">
      <c r="A79" s="29"/>
      <c r="B79" s="11" t="str">
        <f>CONCATENATE("          ", "6237", " - ", "JANITORIAL SUPPLIES")</f>
        <v xml:space="preserve">          6237 - JANITORIAL SUPPLIES</v>
      </c>
      <c r="C79" s="11"/>
      <c r="D79" s="7">
        <v>11902.26</v>
      </c>
      <c r="E79" s="2"/>
      <c r="F79" s="6">
        <f t="shared" si="44"/>
        <v>8.3431305028401157E-3</v>
      </c>
      <c r="G79" s="2"/>
      <c r="H79" s="7">
        <v>9750</v>
      </c>
      <c r="I79" s="2"/>
      <c r="J79" s="6">
        <f t="shared" si="45"/>
        <v>8.6362670068027211E-3</v>
      </c>
      <c r="K79" s="2"/>
      <c r="L79" s="7">
        <f t="shared" si="46"/>
        <v>2152.2600000000002</v>
      </c>
      <c r="M79" s="2"/>
      <c r="N79" s="6">
        <f t="shared" si="47"/>
        <v>0.2207446153846154</v>
      </c>
      <c r="O79" s="11"/>
      <c r="P79" s="7">
        <v>18034.34</v>
      </c>
      <c r="Q79" s="2"/>
      <c r="R79" s="6">
        <f t="shared" si="48"/>
        <v>9.3306539881298049E-3</v>
      </c>
      <c r="S79" s="2"/>
      <c r="T79" s="7">
        <v>32250</v>
      </c>
      <c r="U79" s="2"/>
      <c r="V79" s="6">
        <f t="shared" si="49"/>
        <v>2.2852891156462586E-2</v>
      </c>
      <c r="W79" s="2"/>
      <c r="X79" s="7">
        <f t="shared" si="50"/>
        <v>-14215.66</v>
      </c>
      <c r="Y79" s="2"/>
      <c r="Z79" s="6">
        <f t="shared" si="51"/>
        <v>-0.44079565891472866</v>
      </c>
    </row>
    <row r="80" spans="1:26" s="24" customFormat="1" hidden="1" outlineLevel="2" x14ac:dyDescent="0.25">
      <c r="A80" s="29"/>
      <c r="B80" s="11" t="str">
        <f>CONCATENATE("          ", "6239", " - ", "KITCHEN SUPPLIES")</f>
        <v xml:space="preserve">          6239 - KITCHEN SUPPLIES</v>
      </c>
      <c r="C80" s="11"/>
      <c r="D80" s="7">
        <v>10197.49</v>
      </c>
      <c r="E80" s="2"/>
      <c r="F80" s="6">
        <f t="shared" si="44"/>
        <v>7.1481374017545452E-3</v>
      </c>
      <c r="G80" s="2"/>
      <c r="H80" s="7">
        <v>4300</v>
      </c>
      <c r="I80" s="2"/>
      <c r="J80" s="6">
        <f t="shared" si="45"/>
        <v>3.8088151927437642E-3</v>
      </c>
      <c r="K80" s="2"/>
      <c r="L80" s="7">
        <f t="shared" si="46"/>
        <v>5897.49</v>
      </c>
      <c r="M80" s="2"/>
      <c r="N80" s="6">
        <f t="shared" si="47"/>
        <v>1.3715093023255813</v>
      </c>
      <c r="O80" s="11"/>
      <c r="P80" s="7">
        <v>13048.69</v>
      </c>
      <c r="Q80" s="2"/>
      <c r="R80" s="6">
        <f t="shared" si="48"/>
        <v>6.7511653538953739E-3</v>
      </c>
      <c r="S80" s="2"/>
      <c r="T80" s="7">
        <v>16900</v>
      </c>
      <c r="U80" s="2"/>
      <c r="V80" s="6">
        <f t="shared" si="49"/>
        <v>1.197562358276644E-2</v>
      </c>
      <c r="W80" s="2"/>
      <c r="X80" s="7">
        <f t="shared" si="50"/>
        <v>-3851.3099999999995</v>
      </c>
      <c r="Y80" s="2"/>
      <c r="Z80" s="6">
        <f t="shared" si="51"/>
        <v>-0.22788816568047335</v>
      </c>
    </row>
    <row r="81" spans="1:26" s="24" customFormat="1" hidden="1" outlineLevel="2" x14ac:dyDescent="0.25">
      <c r="A81" s="29"/>
      <c r="B81" s="11" t="str">
        <f>CONCATENATE("          ", "6241", " - ", "OFFICE EXPENSE")</f>
        <v xml:space="preserve">          6241 - OFFICE EXPENSE</v>
      </c>
      <c r="C81" s="11"/>
      <c r="D81" s="7">
        <v>2610.11</v>
      </c>
      <c r="E81" s="2"/>
      <c r="F81" s="6">
        <f t="shared" si="44"/>
        <v>1.8296095327079074E-3</v>
      </c>
      <c r="G81" s="2"/>
      <c r="H81" s="7">
        <v>1445</v>
      </c>
      <c r="I81" s="2"/>
      <c r="J81" s="6">
        <f t="shared" si="45"/>
        <v>1.2799390589569161E-3</v>
      </c>
      <c r="K81" s="2"/>
      <c r="L81" s="7">
        <f t="shared" si="46"/>
        <v>1165.1100000000001</v>
      </c>
      <c r="M81" s="2"/>
      <c r="N81" s="6">
        <f t="shared" si="47"/>
        <v>0.80630449826989625</v>
      </c>
      <c r="O81" s="11"/>
      <c r="P81" s="7">
        <v>6334.37</v>
      </c>
      <c r="Q81" s="2"/>
      <c r="R81" s="6">
        <f t="shared" si="48"/>
        <v>3.2772929146722188E-3</v>
      </c>
      <c r="S81" s="2"/>
      <c r="T81" s="7">
        <v>4335</v>
      </c>
      <c r="U81" s="2"/>
      <c r="V81" s="6">
        <f t="shared" si="49"/>
        <v>3.0718537414965988E-3</v>
      </c>
      <c r="W81" s="2"/>
      <c r="X81" s="7">
        <f t="shared" si="50"/>
        <v>1999.37</v>
      </c>
      <c r="Y81" s="2"/>
      <c r="Z81" s="6">
        <f t="shared" si="51"/>
        <v>0.46121568627450976</v>
      </c>
    </row>
    <row r="82" spans="1:26" s="24" customFormat="1" hidden="1" outlineLevel="2" x14ac:dyDescent="0.25">
      <c r="A82" s="29"/>
      <c r="B82" s="11" t="str">
        <f>CONCATENATE("          ", "6243", " - ", "PAPER SUPPLIES")</f>
        <v xml:space="preserve">          6243 - PAPER SUPPLIES</v>
      </c>
      <c r="C82" s="11"/>
      <c r="D82" s="7">
        <v>23426.94</v>
      </c>
      <c r="E82" s="2"/>
      <c r="F82" s="6">
        <f t="shared" si="44"/>
        <v>1.6421588648055513E-2</v>
      </c>
      <c r="G82" s="2"/>
      <c r="H82" s="7">
        <v>13300</v>
      </c>
      <c r="I82" s="2"/>
      <c r="J82" s="6">
        <f t="shared" si="45"/>
        <v>1.1780753968253968E-2</v>
      </c>
      <c r="K82" s="2"/>
      <c r="L82" s="7">
        <f t="shared" si="46"/>
        <v>10126.939999999999</v>
      </c>
      <c r="M82" s="2"/>
      <c r="N82" s="6">
        <f t="shared" si="47"/>
        <v>0.76142406015037589</v>
      </c>
      <c r="O82" s="11"/>
      <c r="P82" s="7">
        <v>38839.699999999997</v>
      </c>
      <c r="Q82" s="2"/>
      <c r="R82" s="6">
        <f t="shared" si="48"/>
        <v>2.0094985549943337E-2</v>
      </c>
      <c r="S82" s="2"/>
      <c r="T82" s="7">
        <v>37900</v>
      </c>
      <c r="U82" s="2"/>
      <c r="V82" s="6">
        <f t="shared" si="49"/>
        <v>2.6856575963718821E-2</v>
      </c>
      <c r="W82" s="2"/>
      <c r="X82" s="7">
        <f t="shared" si="50"/>
        <v>939.69999999999709</v>
      </c>
      <c r="Y82" s="2"/>
      <c r="Z82" s="6">
        <f t="shared" si="51"/>
        <v>2.4794195250659554E-2</v>
      </c>
    </row>
    <row r="83" spans="1:26" s="24" customFormat="1" hidden="1" outlineLevel="2" x14ac:dyDescent="0.25">
      <c r="A83" s="29"/>
      <c r="B83" s="11" t="str">
        <f>CONCATENATE("          ", "6244", " - ", "SAFETY SUPPLY EXPENSE")</f>
        <v xml:space="preserve">          6244 - SAFETY SUPPLY EXPENSE</v>
      </c>
      <c r="C83" s="11"/>
      <c r="D83" s="7"/>
      <c r="E83" s="2"/>
      <c r="F83" s="6">
        <f t="shared" si="44"/>
        <v>0</v>
      </c>
      <c r="G83" s="2"/>
      <c r="H83" s="7">
        <v>525</v>
      </c>
      <c r="I83" s="2"/>
      <c r="J83" s="6">
        <f t="shared" si="45"/>
        <v>4.6502976190476188E-4</v>
      </c>
      <c r="K83" s="2"/>
      <c r="L83" s="7">
        <f t="shared" si="46"/>
        <v>-525</v>
      </c>
      <c r="M83" s="2"/>
      <c r="N83" s="6">
        <f t="shared" si="47"/>
        <v>-1</v>
      </c>
      <c r="O83" s="11"/>
      <c r="P83" s="7"/>
      <c r="Q83" s="2"/>
      <c r="R83" s="6">
        <f t="shared" si="48"/>
        <v>0</v>
      </c>
      <c r="S83" s="2"/>
      <c r="T83" s="7">
        <v>1575</v>
      </c>
      <c r="U83" s="2"/>
      <c r="V83" s="6">
        <f t="shared" si="49"/>
        <v>1.1160714285714285E-3</v>
      </c>
      <c r="W83" s="2"/>
      <c r="X83" s="7">
        <f t="shared" si="50"/>
        <v>-1575</v>
      </c>
      <c r="Y83" s="2"/>
      <c r="Z83" s="6">
        <f t="shared" si="51"/>
        <v>-1</v>
      </c>
    </row>
    <row r="84" spans="1:26" s="24" customFormat="1" hidden="1" outlineLevel="2" x14ac:dyDescent="0.25">
      <c r="A84" s="29"/>
      <c r="B84" s="11" t="str">
        <f>CONCATENATE("          ", "6247", " - ", "STORE SUPPLIES")</f>
        <v xml:space="preserve">          6247 - STORE SUPPLIES</v>
      </c>
      <c r="C84" s="11"/>
      <c r="D84" s="7">
        <v>382.02</v>
      </c>
      <c r="E84" s="2"/>
      <c r="F84" s="6">
        <f t="shared" si="44"/>
        <v>2.6778466565971346E-4</v>
      </c>
      <c r="G84" s="2"/>
      <c r="H84" s="7"/>
      <c r="I84" s="2"/>
      <c r="J84" s="6">
        <f t="shared" si="45"/>
        <v>0</v>
      </c>
      <c r="K84" s="2"/>
      <c r="L84" s="7">
        <f t="shared" si="46"/>
        <v>382.02</v>
      </c>
      <c r="M84" s="2"/>
      <c r="N84" s="6">
        <f t="shared" si="47"/>
        <v>0</v>
      </c>
      <c r="O84" s="11"/>
      <c r="P84" s="7">
        <v>382.02</v>
      </c>
      <c r="Q84" s="2"/>
      <c r="R84" s="6">
        <f t="shared" si="48"/>
        <v>1.9765050656388576E-4</v>
      </c>
      <c r="S84" s="2"/>
      <c r="T84" s="7"/>
      <c r="U84" s="2"/>
      <c r="V84" s="6">
        <f t="shared" si="49"/>
        <v>0</v>
      </c>
      <c r="W84" s="2"/>
      <c r="X84" s="7">
        <f t="shared" si="50"/>
        <v>382.02</v>
      </c>
      <c r="Y84" s="2"/>
      <c r="Z84" s="6">
        <f t="shared" si="51"/>
        <v>0</v>
      </c>
    </row>
    <row r="85" spans="1:26" s="24" customFormat="1" hidden="1" outlineLevel="2" x14ac:dyDescent="0.25">
      <c r="A85" s="29"/>
      <c r="B85" s="11" t="str">
        <f>CONCATENATE("          ", "6248", " - ", "UNIFORMS")</f>
        <v xml:space="preserve">          6248 - UNIFORMS</v>
      </c>
      <c r="C85" s="11"/>
      <c r="D85" s="7"/>
      <c r="E85" s="2"/>
      <c r="F85" s="6">
        <f t="shared" si="44"/>
        <v>0</v>
      </c>
      <c r="G85" s="2"/>
      <c r="H85" s="7">
        <v>588</v>
      </c>
      <c r="I85" s="2"/>
      <c r="J85" s="6">
        <f t="shared" si="45"/>
        <v>5.2083333333333333E-4</v>
      </c>
      <c r="K85" s="2"/>
      <c r="L85" s="7">
        <f t="shared" si="46"/>
        <v>-588</v>
      </c>
      <c r="M85" s="2"/>
      <c r="N85" s="6">
        <f t="shared" si="47"/>
        <v>-1</v>
      </c>
      <c r="O85" s="11"/>
      <c r="P85" s="7"/>
      <c r="Q85" s="2"/>
      <c r="R85" s="6">
        <f t="shared" si="48"/>
        <v>0</v>
      </c>
      <c r="S85" s="2"/>
      <c r="T85" s="7">
        <v>1764</v>
      </c>
      <c r="U85" s="2"/>
      <c r="V85" s="6">
        <f t="shared" si="49"/>
        <v>1.25E-3</v>
      </c>
      <c r="W85" s="2"/>
      <c r="X85" s="7">
        <f t="shared" si="50"/>
        <v>-1764</v>
      </c>
      <c r="Y85" s="2"/>
      <c r="Z85" s="6">
        <f t="shared" si="51"/>
        <v>-1</v>
      </c>
    </row>
    <row r="86" spans="1:26" s="28" customFormat="1" outlineLevel="1" collapsed="1" x14ac:dyDescent="0.25">
      <c r="A86" s="27"/>
      <c r="B86" s="14" t="str">
        <f>CONCATENATE("     ","Telephone/Data Lines                              ")</f>
        <v xml:space="preserve">     Telephone/Data Lines                              </v>
      </c>
      <c r="C86" s="14"/>
      <c r="D86" s="1">
        <f>SUM(OSRRefD22_15x_0)</f>
        <v>860.85</v>
      </c>
      <c r="E86" s="1"/>
      <c r="F86" s="5">
        <f t="shared" ref="F86:F88" si="52">IF(D$12=0,0,D86/D$12)</f>
        <v>6.0343026394734398E-4</v>
      </c>
      <c r="G86" s="1"/>
      <c r="H86" s="1">
        <f>SUM(OSRRefH22_15x_0)</f>
        <v>601</v>
      </c>
      <c r="I86" s="1"/>
      <c r="J86" s="5">
        <f t="shared" ref="J86:J88" si="53">IF(H$12=0,0,H86/H$12)</f>
        <v>5.3234835600907029E-4</v>
      </c>
      <c r="K86" s="1"/>
      <c r="L86" s="1">
        <f t="shared" ref="L86:L88" si="54">+D86-H86</f>
        <v>259.85000000000002</v>
      </c>
      <c r="M86" s="1"/>
      <c r="N86" s="5">
        <f t="shared" ref="N86:N88" si="55">IF(H86=0,0,L86/H86)</f>
        <v>0.43236272878535775</v>
      </c>
      <c r="O86" s="14"/>
      <c r="P86" s="1">
        <f>SUM(OSRRefP22_15x_0)</f>
        <v>1982.85</v>
      </c>
      <c r="Q86" s="1"/>
      <c r="R86" s="5">
        <f t="shared" ref="R86:R88" si="56">IF(P$12=0,0,P86/P$12)</f>
        <v>1.0258921180571721E-3</v>
      </c>
      <c r="S86" s="1"/>
      <c r="T86" s="1">
        <f>SUM(OSRRefT22_15x_0)</f>
        <v>1803</v>
      </c>
      <c r="U86" s="1"/>
      <c r="V86" s="5">
        <f t="shared" ref="V86:V88" si="57">IF(T$12=0,0,T86/T$12)</f>
        <v>1.2776360544217687E-3</v>
      </c>
      <c r="W86" s="1"/>
      <c r="X86" s="1">
        <f t="shared" ref="X86:X88" si="58">+P86-T86</f>
        <v>179.84999999999991</v>
      </c>
      <c r="Y86" s="1"/>
      <c r="Z86" s="5">
        <f t="shared" ref="Z86:Z88" si="59">IF(T86=0,0,X86/T86)</f>
        <v>9.9750415973377651E-2</v>
      </c>
    </row>
    <row r="87" spans="1:26" s="24" customFormat="1" hidden="1" outlineLevel="2" x14ac:dyDescent="0.25">
      <c r="A87" s="29"/>
      <c r="B87" s="11" t="str">
        <f>CONCATENATE("          ", "6303", " - ", "DATA PHONE LINES")</f>
        <v xml:space="preserve">          6303 - DATA PHONE LINES</v>
      </c>
      <c r="C87" s="11"/>
      <c r="D87" s="7"/>
      <c r="E87" s="2"/>
      <c r="F87" s="6">
        <f t="shared" si="52"/>
        <v>0</v>
      </c>
      <c r="G87" s="2"/>
      <c r="H87" s="7">
        <v>58</v>
      </c>
      <c r="I87" s="2"/>
      <c r="J87" s="6">
        <f t="shared" si="53"/>
        <v>5.1374716553287984E-5</v>
      </c>
      <c r="K87" s="2"/>
      <c r="L87" s="7">
        <f t="shared" si="54"/>
        <v>-58</v>
      </c>
      <c r="M87" s="2"/>
      <c r="N87" s="6">
        <f t="shared" si="55"/>
        <v>-1</v>
      </c>
      <c r="O87" s="11"/>
      <c r="P87" s="7"/>
      <c r="Q87" s="2"/>
      <c r="R87" s="6">
        <f t="shared" si="56"/>
        <v>0</v>
      </c>
      <c r="S87" s="2"/>
      <c r="T87" s="7">
        <v>174</v>
      </c>
      <c r="U87" s="2"/>
      <c r="V87" s="6">
        <f t="shared" si="57"/>
        <v>1.2329931972789116E-4</v>
      </c>
      <c r="W87" s="2"/>
      <c r="X87" s="7">
        <f t="shared" si="58"/>
        <v>-174</v>
      </c>
      <c r="Y87" s="2"/>
      <c r="Z87" s="6">
        <f t="shared" si="59"/>
        <v>-1</v>
      </c>
    </row>
    <row r="88" spans="1:26" s="24" customFormat="1" hidden="1" outlineLevel="2" x14ac:dyDescent="0.25">
      <c r="A88" s="29"/>
      <c r="B88" s="11" t="str">
        <f>CONCATENATE("          ", "6309", " - ", "TELEPHONE")</f>
        <v xml:space="preserve">          6309 - TELEPHONE</v>
      </c>
      <c r="C88" s="11"/>
      <c r="D88" s="7">
        <v>860.85</v>
      </c>
      <c r="E88" s="2"/>
      <c r="F88" s="6">
        <f t="shared" si="52"/>
        <v>6.0343026394734398E-4</v>
      </c>
      <c r="G88" s="2"/>
      <c r="H88" s="7">
        <v>543</v>
      </c>
      <c r="I88" s="2"/>
      <c r="J88" s="6">
        <f t="shared" si="53"/>
        <v>4.8097363945578232E-4</v>
      </c>
      <c r="K88" s="2"/>
      <c r="L88" s="7">
        <f t="shared" si="54"/>
        <v>317.85000000000002</v>
      </c>
      <c r="M88" s="2"/>
      <c r="N88" s="6">
        <f t="shared" si="55"/>
        <v>0.58535911602209945</v>
      </c>
      <c r="O88" s="11"/>
      <c r="P88" s="7">
        <v>1982.85</v>
      </c>
      <c r="Q88" s="2"/>
      <c r="R88" s="6">
        <f t="shared" si="56"/>
        <v>1.0258921180571721E-3</v>
      </c>
      <c r="S88" s="2"/>
      <c r="T88" s="7">
        <v>1629</v>
      </c>
      <c r="U88" s="2"/>
      <c r="V88" s="6">
        <f t="shared" si="57"/>
        <v>1.1543367346938775E-3</v>
      </c>
      <c r="W88" s="2"/>
      <c r="X88" s="7">
        <f t="shared" si="58"/>
        <v>353.84999999999991</v>
      </c>
      <c r="Y88" s="2"/>
      <c r="Z88" s="6">
        <f t="shared" si="59"/>
        <v>0.2172191528545119</v>
      </c>
    </row>
    <row r="89" spans="1:26" s="28" customFormat="1" outlineLevel="1" collapsed="1" x14ac:dyDescent="0.25">
      <c r="A89" s="27"/>
      <c r="B89" s="14" t="str">
        <f>CONCATENATE("     ","Training                                          ")</f>
        <v xml:space="preserve">     Training                                          </v>
      </c>
      <c r="C89" s="14"/>
      <c r="D89" s="1">
        <f>SUM(OSRRefD22_16x_0)</f>
        <v>0</v>
      </c>
      <c r="E89" s="1"/>
      <c r="F89" s="5">
        <f t="shared" ref="F89:F93" si="60">IF(D$12=0,0,D89/D$12)</f>
        <v>0</v>
      </c>
      <c r="G89" s="1"/>
      <c r="H89" s="1">
        <f>SUM(OSRRefH22_16x_0)</f>
        <v>640</v>
      </c>
      <c r="I89" s="1"/>
      <c r="J89" s="5">
        <f t="shared" ref="J89:J93" si="61">IF(H$12=0,0,H89/H$12)</f>
        <v>5.6689342403628119E-4</v>
      </c>
      <c r="K89" s="1"/>
      <c r="L89" s="1">
        <f t="shared" ref="L89:L93" si="62">+D89-H89</f>
        <v>-640</v>
      </c>
      <c r="M89" s="1"/>
      <c r="N89" s="5">
        <f t="shared" ref="N89:N93" si="63">IF(H89=0,0,L89/H89)</f>
        <v>-1</v>
      </c>
      <c r="O89" s="14"/>
      <c r="P89" s="1">
        <f>SUM(OSRRefP22_16x_0)</f>
        <v>0</v>
      </c>
      <c r="Q89" s="1"/>
      <c r="R89" s="5">
        <f t="shared" ref="R89:R93" si="64">IF(P$12=0,0,P89/P$12)</f>
        <v>0</v>
      </c>
      <c r="S89" s="1"/>
      <c r="T89" s="1">
        <f>SUM(OSRRefT22_16x_0)</f>
        <v>1920</v>
      </c>
      <c r="U89" s="1"/>
      <c r="V89" s="5">
        <f t="shared" ref="V89:V93" si="65">IF(T$12=0,0,T89/T$12)</f>
        <v>1.3605442176870747E-3</v>
      </c>
      <c r="W89" s="1"/>
      <c r="X89" s="1">
        <f t="shared" ref="X89:X93" si="66">+P89-T89</f>
        <v>-1920</v>
      </c>
      <c r="Y89" s="1"/>
      <c r="Z89" s="5">
        <f t="shared" ref="Z89:Z93" si="67">IF(T89=0,0,X89/T89)</f>
        <v>-1</v>
      </c>
    </row>
    <row r="90" spans="1:26" s="24" customFormat="1" hidden="1" outlineLevel="2" x14ac:dyDescent="0.25">
      <c r="A90" s="29"/>
      <c r="B90" s="11" t="str">
        <f>CONCATENATE("          ", "6376", " - ", "TRAINING")</f>
        <v xml:space="preserve">          6376 - TRAINING</v>
      </c>
      <c r="C90" s="11"/>
      <c r="D90" s="7"/>
      <c r="E90" s="2"/>
      <c r="F90" s="6">
        <f t="shared" si="60"/>
        <v>0</v>
      </c>
      <c r="G90" s="2"/>
      <c r="H90" s="7">
        <v>640</v>
      </c>
      <c r="I90" s="2"/>
      <c r="J90" s="6">
        <f t="shared" si="61"/>
        <v>5.6689342403628119E-4</v>
      </c>
      <c r="K90" s="2"/>
      <c r="L90" s="7">
        <f t="shared" si="62"/>
        <v>-640</v>
      </c>
      <c r="M90" s="2"/>
      <c r="N90" s="6">
        <f t="shared" si="63"/>
        <v>-1</v>
      </c>
      <c r="O90" s="11"/>
      <c r="P90" s="7"/>
      <c r="Q90" s="2"/>
      <c r="R90" s="6">
        <f t="shared" si="64"/>
        <v>0</v>
      </c>
      <c r="S90" s="2"/>
      <c r="T90" s="7">
        <v>1920</v>
      </c>
      <c r="U90" s="2"/>
      <c r="V90" s="6">
        <f t="shared" si="65"/>
        <v>1.3605442176870747E-3</v>
      </c>
      <c r="W90" s="2"/>
      <c r="X90" s="7">
        <f t="shared" si="66"/>
        <v>-1920</v>
      </c>
      <c r="Y90" s="2"/>
      <c r="Z90" s="6">
        <f t="shared" si="67"/>
        <v>-1</v>
      </c>
    </row>
    <row r="91" spans="1:26" s="28" customFormat="1" outlineLevel="1" collapsed="1" x14ac:dyDescent="0.25">
      <c r="A91" s="27"/>
      <c r="B91" s="14" t="str">
        <f>CONCATENATE("     ","Travel                                            ")</f>
        <v xml:space="preserve">     Travel                                            </v>
      </c>
      <c r="C91" s="14"/>
      <c r="D91" s="1">
        <f>SUM(OSRRefD22_17x_0)</f>
        <v>104.02</v>
      </c>
      <c r="E91" s="1"/>
      <c r="F91" s="5">
        <f t="shared" si="60"/>
        <v>7.2914928333394572E-5</v>
      </c>
      <c r="G91" s="1"/>
      <c r="H91" s="1">
        <f>SUM(OSRRefH22_17x_0)</f>
        <v>0</v>
      </c>
      <c r="I91" s="1"/>
      <c r="J91" s="5">
        <f t="shared" si="61"/>
        <v>0</v>
      </c>
      <c r="K91" s="1"/>
      <c r="L91" s="1">
        <f t="shared" si="62"/>
        <v>104.02</v>
      </c>
      <c r="M91" s="1"/>
      <c r="N91" s="5">
        <f t="shared" si="63"/>
        <v>0</v>
      </c>
      <c r="O91" s="14"/>
      <c r="P91" s="1">
        <f>SUM(OSRRefP22_17x_0)</f>
        <v>699.02</v>
      </c>
      <c r="Q91" s="1"/>
      <c r="R91" s="5">
        <f t="shared" si="64"/>
        <v>3.6166079550360567E-4</v>
      </c>
      <c r="S91" s="1"/>
      <c r="T91" s="1">
        <f>SUM(OSRRefT22_17x_0)</f>
        <v>0</v>
      </c>
      <c r="U91" s="1"/>
      <c r="V91" s="5">
        <f t="shared" si="65"/>
        <v>0</v>
      </c>
      <c r="W91" s="1"/>
      <c r="X91" s="1">
        <f t="shared" si="66"/>
        <v>699.02</v>
      </c>
      <c r="Y91" s="1"/>
      <c r="Z91" s="5">
        <f t="shared" si="67"/>
        <v>0</v>
      </c>
    </row>
    <row r="92" spans="1:26" s="24" customFormat="1" hidden="1" outlineLevel="2" x14ac:dyDescent="0.25">
      <c r="A92" s="29"/>
      <c r="B92" s="11" t="str">
        <f>CONCATENATE("          ", "6292", " - ", "TRAVEL/CONFERENCE")</f>
        <v xml:space="preserve">          6292 - TRAVEL/CONFERENCE</v>
      </c>
      <c r="C92" s="11"/>
      <c r="D92" s="7"/>
      <c r="E92" s="2"/>
      <c r="F92" s="6">
        <f t="shared" si="60"/>
        <v>0</v>
      </c>
      <c r="G92" s="2"/>
      <c r="H92" s="7"/>
      <c r="I92" s="2"/>
      <c r="J92" s="6">
        <f t="shared" si="61"/>
        <v>0</v>
      </c>
      <c r="K92" s="2"/>
      <c r="L92" s="7">
        <f t="shared" si="62"/>
        <v>0</v>
      </c>
      <c r="M92" s="2"/>
      <c r="N92" s="6">
        <f t="shared" si="63"/>
        <v>0</v>
      </c>
      <c r="O92" s="11"/>
      <c r="P92" s="7">
        <v>595</v>
      </c>
      <c r="Q92" s="2"/>
      <c r="R92" s="6">
        <f t="shared" si="64"/>
        <v>3.0784265589631964E-4</v>
      </c>
      <c r="S92" s="2"/>
      <c r="T92" s="7"/>
      <c r="U92" s="2"/>
      <c r="V92" s="6">
        <f t="shared" si="65"/>
        <v>0</v>
      </c>
      <c r="W92" s="2"/>
      <c r="X92" s="7">
        <f t="shared" si="66"/>
        <v>595</v>
      </c>
      <c r="Y92" s="2"/>
      <c r="Z92" s="6">
        <f t="shared" si="67"/>
        <v>0</v>
      </c>
    </row>
    <row r="93" spans="1:26" s="24" customFormat="1" hidden="1" outlineLevel="2" x14ac:dyDescent="0.25">
      <c r="A93" s="29"/>
      <c r="B93" s="11" t="str">
        <f>CONCATENATE("          ", "6298", " - ", "VEHICLE MILEAGE")</f>
        <v xml:space="preserve">          6298 - VEHICLE MILEAGE</v>
      </c>
      <c r="C93" s="11"/>
      <c r="D93" s="7">
        <v>104.02</v>
      </c>
      <c r="E93" s="2"/>
      <c r="F93" s="6">
        <f t="shared" si="60"/>
        <v>7.2914928333394572E-5</v>
      </c>
      <c r="G93" s="2"/>
      <c r="H93" s="7"/>
      <c r="I93" s="2"/>
      <c r="J93" s="6">
        <f t="shared" si="61"/>
        <v>0</v>
      </c>
      <c r="K93" s="2"/>
      <c r="L93" s="7">
        <f t="shared" si="62"/>
        <v>104.02</v>
      </c>
      <c r="M93" s="2"/>
      <c r="N93" s="6">
        <f t="shared" si="63"/>
        <v>0</v>
      </c>
      <c r="O93" s="11"/>
      <c r="P93" s="7">
        <v>104.02</v>
      </c>
      <c r="Q93" s="2"/>
      <c r="R93" s="6">
        <f t="shared" si="64"/>
        <v>5.3818139607285996E-5</v>
      </c>
      <c r="S93" s="2"/>
      <c r="T93" s="7"/>
      <c r="U93" s="2"/>
      <c r="V93" s="6">
        <f t="shared" si="65"/>
        <v>0</v>
      </c>
      <c r="W93" s="2"/>
      <c r="X93" s="7">
        <f t="shared" si="66"/>
        <v>104.02</v>
      </c>
      <c r="Y93" s="2"/>
      <c r="Z93" s="6">
        <f t="shared" si="67"/>
        <v>0</v>
      </c>
    </row>
    <row r="94" spans="1:26" s="58" customFormat="1" x14ac:dyDescent="0.25">
      <c r="A94" s="36"/>
      <c r="B94" s="36"/>
      <c r="C94" s="36"/>
      <c r="D94" s="1"/>
      <c r="E94" s="1"/>
      <c r="F94" s="5"/>
      <c r="G94" s="1"/>
      <c r="H94" s="1"/>
      <c r="I94" s="1"/>
      <c r="J94" s="5"/>
      <c r="K94" s="1"/>
      <c r="L94" s="1"/>
      <c r="M94" s="1"/>
      <c r="N94" s="5"/>
      <c r="O94" s="36"/>
      <c r="P94" s="1"/>
      <c r="Q94" s="1"/>
      <c r="R94" s="5"/>
      <c r="S94" s="1"/>
      <c r="T94" s="1"/>
      <c r="U94" s="1"/>
      <c r="V94" s="5"/>
      <c r="W94" s="1"/>
      <c r="X94" s="1"/>
      <c r="Y94" s="1"/>
      <c r="Z94" s="5"/>
    </row>
    <row r="95" spans="1:26" s="23" customFormat="1" x14ac:dyDescent="0.25">
      <c r="A95" s="10"/>
      <c r="B95" s="26" t="s">
        <v>293</v>
      </c>
      <c r="C95" s="10"/>
      <c r="D95" s="4">
        <f>SUM(0)</f>
        <v>0</v>
      </c>
      <c r="E95" s="4"/>
      <c r="F95" s="12">
        <f>IF(D$12=0,0,D95/D$12)</f>
        <v>0</v>
      </c>
      <c r="G95" s="4"/>
      <c r="H95" s="4">
        <f>SUM(0)</f>
        <v>0</v>
      </c>
      <c r="I95" s="4"/>
      <c r="J95" s="12">
        <f>IF(H$12=0,0,H95/H$12)</f>
        <v>0</v>
      </c>
      <c r="K95" s="4"/>
      <c r="L95" s="4">
        <f>+D95-H95</f>
        <v>0</v>
      </c>
      <c r="M95" s="4"/>
      <c r="N95" s="12">
        <f>IF(H95=0,0,L95/H95)</f>
        <v>0</v>
      </c>
      <c r="O95" s="10"/>
      <c r="P95" s="4">
        <f>SUM(0)</f>
        <v>0</v>
      </c>
      <c r="Q95" s="4"/>
      <c r="R95" s="12">
        <f>IF(P$12=0,0,P95/P$12)</f>
        <v>0</v>
      </c>
      <c r="S95" s="4"/>
      <c r="T95" s="4">
        <f>SUM(0)</f>
        <v>0</v>
      </c>
      <c r="U95" s="4"/>
      <c r="V95" s="12">
        <f>IF(T$12=0,0,T95/T$12)</f>
        <v>0</v>
      </c>
      <c r="W95" s="4"/>
      <c r="X95" s="4">
        <f>+P95-T95</f>
        <v>0</v>
      </c>
      <c r="Y95" s="4"/>
      <c r="Z95" s="12">
        <f>IF(T95=0,0,X95/T95)</f>
        <v>0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10"/>
      <c r="B97" s="25" t="s">
        <v>277</v>
      </c>
      <c r="C97" s="25"/>
      <c r="D97" s="21">
        <f>+D23-D25+D95</f>
        <v>570121.91000000015</v>
      </c>
      <c r="E97" s="13"/>
      <c r="F97" s="20">
        <f>IF(D$12=0,0,D97/D$12)</f>
        <v>0.39963851383337862</v>
      </c>
      <c r="G97" s="13"/>
      <c r="H97" s="21">
        <f>+H23-H25+H95</f>
        <v>266389.16767493403</v>
      </c>
      <c r="I97" s="13"/>
      <c r="J97" s="20">
        <f>IF(H$12=0,0,H97/H$12)</f>
        <v>0.23595979279596621</v>
      </c>
      <c r="K97" s="16"/>
      <c r="L97" s="21">
        <f>+D97-H97</f>
        <v>303732.74232506612</v>
      </c>
      <c r="M97" s="16"/>
      <c r="N97" s="20">
        <f>IF(H97=0,0,L97/H97)</f>
        <v>1.1401842836781608</v>
      </c>
      <c r="O97" s="26"/>
      <c r="P97" s="21">
        <f>+P23-P25+P95</f>
        <v>375681.70999999996</v>
      </c>
      <c r="Q97" s="13"/>
      <c r="R97" s="20">
        <f>IF(P$12=0,0,P97/P$12)</f>
        <v>0.19437118550936291</v>
      </c>
      <c r="S97" s="13"/>
      <c r="T97" s="21">
        <f>+T23-T25+T95</f>
        <v>-350488.52955646487</v>
      </c>
      <c r="U97" s="13"/>
      <c r="V97" s="20">
        <f>IF(T$12=0,0,T97/T$12)</f>
        <v>-0.24836205325713215</v>
      </c>
      <c r="W97" s="16"/>
      <c r="X97" s="21">
        <f>+P97-T97</f>
        <v>726170.23955646483</v>
      </c>
      <c r="Y97" s="16"/>
      <c r="Z97" s="20">
        <f>IF(T97=0,0,X97/T97)</f>
        <v>-2.0718801852814313</v>
      </c>
    </row>
    <row r="98" spans="1:26" x14ac:dyDescent="0.25">
      <c r="A98" s="9"/>
      <c r="B98" s="10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52"/>
      <c r="B99" s="10" t="s">
        <v>128</v>
      </c>
      <c r="C99" s="10"/>
      <c r="D99" s="4">
        <v>163589.49</v>
      </c>
      <c r="E99" s="4"/>
      <c r="F99" s="12">
        <f>IF(D$12=0,0,D99/D$12)</f>
        <v>0.11467137030808083</v>
      </c>
      <c r="G99" s="4"/>
      <c r="H99" s="4">
        <v>121625</v>
      </c>
      <c r="I99" s="4"/>
      <c r="J99" s="12">
        <f>IF(H$12=0,0,H99/H$12)</f>
        <v>0.10773189484126984</v>
      </c>
      <c r="K99" s="4"/>
      <c r="L99" s="4">
        <f>+D99-H99</f>
        <v>41964.489999999991</v>
      </c>
      <c r="M99" s="4"/>
      <c r="N99" s="12">
        <f>IF(H99=0,0,L99/H99)</f>
        <v>0.34503177800616641</v>
      </c>
      <c r="O99" s="10"/>
      <c r="P99" s="4">
        <v>239234.21</v>
      </c>
      <c r="Q99" s="4"/>
      <c r="R99" s="12">
        <f>IF(P$12=0,0,P99/P$12)</f>
        <v>0.12377562115572752</v>
      </c>
      <c r="S99" s="4"/>
      <c r="T99" s="4">
        <v>153234</v>
      </c>
      <c r="U99" s="4"/>
      <c r="V99" s="12">
        <f>IF(T$12=0,0,T99/T$12)</f>
        <v>0.10858418367346939</v>
      </c>
      <c r="W99" s="4"/>
      <c r="X99" s="4">
        <f>+P99-T99</f>
        <v>86000.209999999992</v>
      </c>
      <c r="Y99" s="4"/>
      <c r="Z99" s="12">
        <f>IF(T99=0,0,X99/T99)</f>
        <v>0.56123451714371475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5" t="s">
        <v>126</v>
      </c>
      <c r="C101" s="25"/>
      <c r="D101" s="33">
        <f>+D97-D99</f>
        <v>406532.42000000016</v>
      </c>
      <c r="E101" s="13"/>
      <c r="F101" s="31">
        <f>IF(D$12=0,0,D101/D$12)</f>
        <v>0.28496714352529778</v>
      </c>
      <c r="G101" s="13"/>
      <c r="H101" s="33">
        <f>+H97-H99</f>
        <v>144764.16767493403</v>
      </c>
      <c r="I101" s="13"/>
      <c r="J101" s="31">
        <f>IF(H$12=0,0,H101/H$12)</f>
        <v>0.12822789795469638</v>
      </c>
      <c r="K101" s="16"/>
      <c r="L101" s="33">
        <f>D101-H101</f>
        <v>261768.25232506613</v>
      </c>
      <c r="M101" s="16"/>
      <c r="N101" s="31">
        <f>IF(H101=0,0,L101/H101)</f>
        <v>1.8082392661757514</v>
      </c>
      <c r="O101" s="26"/>
      <c r="P101" s="33">
        <f>+P97-P99</f>
        <v>136447.49999999997</v>
      </c>
      <c r="Q101" s="13"/>
      <c r="R101" s="31">
        <f>IF(P$12=0,0,P101/P$12)</f>
        <v>7.0595564353635412E-2</v>
      </c>
      <c r="S101" s="13"/>
      <c r="T101" s="33">
        <f>+T97-T99</f>
        <v>-503722.52955646487</v>
      </c>
      <c r="U101" s="13"/>
      <c r="V101" s="31">
        <f>IF(T$12=0,0,T101/T$12)</f>
        <v>-0.35694623693060151</v>
      </c>
      <c r="W101" s="16"/>
      <c r="X101" s="33">
        <f>P101-T101</f>
        <v>640170.02955646487</v>
      </c>
      <c r="Y101" s="16"/>
      <c r="Z101" s="31">
        <f>IF(T101=0,0,X101/T101)</f>
        <v>-1.2708782950807145</v>
      </c>
    </row>
    <row r="102" spans="1:26" ht="15.75" thickTop="1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5" t="s">
        <v>294</v>
      </c>
      <c r="C104" s="25"/>
      <c r="D104" s="35">
        <f>SUM(D101:D103)</f>
        <v>406532.42000000016</v>
      </c>
      <c r="E104" s="13"/>
      <c r="F104" s="34">
        <f>IF(D$12=0,0,D104/D$12)</f>
        <v>0.28496714352529778</v>
      </c>
      <c r="G104" s="13"/>
      <c r="H104" s="35">
        <f>SUM(H101:H103)</f>
        <v>144764.16767493403</v>
      </c>
      <c r="I104" s="13"/>
      <c r="J104" s="34">
        <f>IF(H$12=0,0,H104/H$12)</f>
        <v>0.12822789795469638</v>
      </c>
      <c r="K104" s="16"/>
      <c r="L104" s="35">
        <f>+D104-H104</f>
        <v>261768.25232506613</v>
      </c>
      <c r="M104" s="16"/>
      <c r="N104" s="34">
        <f>IF(H104=0,0,L104/H104)</f>
        <v>1.8082392661757514</v>
      </c>
      <c r="O104" s="26"/>
      <c r="P104" s="35">
        <f>SUM(P101:P103)</f>
        <v>136447.49999999997</v>
      </c>
      <c r="Q104" s="13"/>
      <c r="R104" s="34">
        <f>IF(P$12=0,0,P104/P$12)</f>
        <v>7.0595564353635412E-2</v>
      </c>
      <c r="S104" s="13"/>
      <c r="T104" s="35">
        <f>SUM(T101:T103)</f>
        <v>-503722.52955646487</v>
      </c>
      <c r="U104" s="13"/>
      <c r="V104" s="34">
        <f>IF(T$12=0,0,T104/T$12)</f>
        <v>-0.35694623693060151</v>
      </c>
      <c r="W104" s="16"/>
      <c r="X104" s="35">
        <f>+P104-T104</f>
        <v>640170.02955646487</v>
      </c>
      <c r="Y104" s="16"/>
      <c r="Z104" s="34">
        <f>IF(T104=0,0,X104/T104)</f>
        <v>-1.2708782950807145</v>
      </c>
    </row>
    <row r="105" spans="1:26" ht="15.75" thickTop="1" x14ac:dyDescent="0.25">
      <c r="A105" s="9"/>
      <c r="C105" s="9"/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61">
        <v>44481.978917395834</v>
      </c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A107" s="9"/>
      <c r="B107" s="56" t="s">
        <v>56</v>
      </c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A108" s="9"/>
      <c r="B108" s="54"/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25"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92D050"/>
    <outlinePr summaryBelow="0" summaryRight="0"/>
  </sheetPr>
  <dimension ref="A2:Z6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","430", " - ", "Res Hall Management")</f>
        <v>Department 430 - Res Hall Management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x14ac:dyDescent="0.25">
      <c r="A12" s="10"/>
      <c r="B12" s="26" t="s">
        <v>140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257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108</v>
      </c>
      <c r="C16" s="25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6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295</v>
      </c>
      <c r="C18" s="10"/>
      <c r="D18" s="22">
        <f>SUM(OSRRefD22x_0)</f>
        <v>16881.870000000003</v>
      </c>
      <c r="E18" s="22"/>
      <c r="F18" s="32">
        <f t="shared" ref="F18:F28" si="0">IF(D$12=0,0,D18/D$12)</f>
        <v>0</v>
      </c>
      <c r="G18" s="22"/>
      <c r="H18" s="22">
        <f>SUM(OSRRefH22x_0)</f>
        <v>17174.263740000002</v>
      </c>
      <c r="I18" s="22"/>
      <c r="J18" s="32">
        <f t="shared" ref="J18:J28" si="1">IF(H$12=0,0,H18/H$12)</f>
        <v>0</v>
      </c>
      <c r="K18" s="4"/>
      <c r="L18" s="22">
        <f t="shared" ref="L18:L28" si="2">+D18-H18</f>
        <v>-292.39373999999953</v>
      </c>
      <c r="M18" s="4"/>
      <c r="N18" s="32">
        <f t="shared" ref="N18:N28" si="3">IF(H18=0,0,L18/H18)</f>
        <v>-1.7025110620549927E-2</v>
      </c>
      <c r="O18" s="10"/>
      <c r="P18" s="22">
        <f>SUM(OSRRefP22x_0)</f>
        <v>56436.33</v>
      </c>
      <c r="Q18" s="22"/>
      <c r="R18" s="32">
        <f t="shared" ref="R18:R28" si="4">IF(P$12=0,0,P18/P$12)</f>
        <v>0</v>
      </c>
      <c r="S18" s="22"/>
      <c r="T18" s="22">
        <f>SUM(OSRRefT22x_0)</f>
        <v>54215.857155000005</v>
      </c>
      <c r="U18" s="22"/>
      <c r="V18" s="32">
        <f t="shared" ref="V18:V28" si="5">IF(T$12=0,0,T18/T$12)</f>
        <v>0</v>
      </c>
      <c r="W18" s="4"/>
      <c r="X18" s="22">
        <f t="shared" ref="X18:X28" si="6">+P18-T18</f>
        <v>2220.4728449999966</v>
      </c>
      <c r="Y18" s="4"/>
      <c r="Z18" s="32">
        <f t="shared" ref="Z18:Z28" si="7">IF(T18=0,0,X18/T18)</f>
        <v>4.0956151235454839E-2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5691.31</v>
      </c>
      <c r="E19" s="1"/>
      <c r="F19" s="5">
        <f t="shared" si="0"/>
        <v>0</v>
      </c>
      <c r="G19" s="1"/>
      <c r="H19" s="1">
        <f>SUM(OSRRefH22_0x_0)</f>
        <v>4239.16374</v>
      </c>
      <c r="I19" s="1"/>
      <c r="J19" s="5">
        <f t="shared" si="1"/>
        <v>0</v>
      </c>
      <c r="K19" s="1"/>
      <c r="L19" s="1">
        <f t="shared" si="2"/>
        <v>1452.1462600000004</v>
      </c>
      <c r="M19" s="1"/>
      <c r="N19" s="5">
        <f t="shared" si="3"/>
        <v>0.34255488796004857</v>
      </c>
      <c r="O19" s="14"/>
      <c r="P19" s="1">
        <f>SUM(OSRRefP22_0x_0)</f>
        <v>17144.16</v>
      </c>
      <c r="Q19" s="1"/>
      <c r="R19" s="5">
        <f t="shared" si="4"/>
        <v>0</v>
      </c>
      <c r="S19" s="1"/>
      <c r="T19" s="1">
        <f>SUM(OSRRefT22_0x_0)</f>
        <v>13283.032155000001</v>
      </c>
      <c r="U19" s="1"/>
      <c r="V19" s="5">
        <f t="shared" si="5"/>
        <v>0</v>
      </c>
      <c r="W19" s="1"/>
      <c r="X19" s="1">
        <f t="shared" si="6"/>
        <v>3861.1278449999991</v>
      </c>
      <c r="Y19" s="1"/>
      <c r="Z19" s="5">
        <f t="shared" si="7"/>
        <v>0.2906812089246199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691.15</v>
      </c>
      <c r="E20" s="2"/>
      <c r="F20" s="6">
        <f t="shared" si="0"/>
        <v>0</v>
      </c>
      <c r="G20" s="2"/>
      <c r="H20" s="7">
        <v>685.55574000000001</v>
      </c>
      <c r="I20" s="2"/>
      <c r="J20" s="6">
        <f t="shared" si="1"/>
        <v>0</v>
      </c>
      <c r="K20" s="2"/>
      <c r="L20" s="7">
        <f t="shared" si="2"/>
        <v>5.5942599999999629</v>
      </c>
      <c r="M20" s="2"/>
      <c r="N20" s="6">
        <f t="shared" si="3"/>
        <v>8.16018256954564E-3</v>
      </c>
      <c r="O20" s="11"/>
      <c r="P20" s="7">
        <v>2067.7199999999998</v>
      </c>
      <c r="Q20" s="2"/>
      <c r="R20" s="6">
        <f t="shared" si="4"/>
        <v>0</v>
      </c>
      <c r="S20" s="2"/>
      <c r="T20" s="7">
        <v>2228.0561550000002</v>
      </c>
      <c r="U20" s="2"/>
      <c r="V20" s="6">
        <f t="shared" si="5"/>
        <v>0</v>
      </c>
      <c r="W20" s="2"/>
      <c r="X20" s="7">
        <f t="shared" si="6"/>
        <v>-160.33615500000042</v>
      </c>
      <c r="Y20" s="2"/>
      <c r="Z20" s="6">
        <f t="shared" si="7"/>
        <v>-7.1962349171581091E-2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325.24</v>
      </c>
      <c r="E21" s="2"/>
      <c r="F21" s="6">
        <f t="shared" si="0"/>
        <v>0</v>
      </c>
      <c r="G21" s="2"/>
      <c r="H21" s="7">
        <v>339.50819999999999</v>
      </c>
      <c r="I21" s="2"/>
      <c r="J21" s="6">
        <f t="shared" si="1"/>
        <v>0</v>
      </c>
      <c r="K21" s="2"/>
      <c r="L21" s="7">
        <f t="shared" si="2"/>
        <v>-14.268199999999979</v>
      </c>
      <c r="M21" s="2"/>
      <c r="N21" s="6">
        <f t="shared" si="3"/>
        <v>-4.2026083611529791E-2</v>
      </c>
      <c r="O21" s="11"/>
      <c r="P21" s="7">
        <v>973.02</v>
      </c>
      <c r="Q21" s="2"/>
      <c r="R21" s="6">
        <f t="shared" si="4"/>
        <v>0</v>
      </c>
      <c r="S21" s="2"/>
      <c r="T21" s="7">
        <v>1103.40165</v>
      </c>
      <c r="U21" s="2"/>
      <c r="V21" s="6">
        <f t="shared" si="5"/>
        <v>0</v>
      </c>
      <c r="W21" s="2"/>
      <c r="X21" s="7">
        <f t="shared" si="6"/>
        <v>-130.38165000000004</v>
      </c>
      <c r="Y21" s="2"/>
      <c r="Z21" s="6">
        <f t="shared" si="7"/>
        <v>-0.11816336326848889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2699.23</v>
      </c>
      <c r="E22" s="2"/>
      <c r="F22" s="6">
        <f t="shared" si="0"/>
        <v>0</v>
      </c>
      <c r="G22" s="2"/>
      <c r="H22" s="7">
        <v>1977</v>
      </c>
      <c r="I22" s="2"/>
      <c r="J22" s="6">
        <f t="shared" si="1"/>
        <v>0</v>
      </c>
      <c r="K22" s="2"/>
      <c r="L22" s="7">
        <f t="shared" si="2"/>
        <v>722.23</v>
      </c>
      <c r="M22" s="2"/>
      <c r="N22" s="6">
        <f t="shared" si="3"/>
        <v>0.36531613555892767</v>
      </c>
      <c r="O22" s="11"/>
      <c r="P22" s="7">
        <v>8075.19</v>
      </c>
      <c r="Q22" s="2"/>
      <c r="R22" s="6">
        <f t="shared" si="4"/>
        <v>0</v>
      </c>
      <c r="S22" s="2"/>
      <c r="T22" s="7">
        <v>5931</v>
      </c>
      <c r="U22" s="2"/>
      <c r="V22" s="6">
        <f t="shared" si="5"/>
        <v>0</v>
      </c>
      <c r="W22" s="2"/>
      <c r="X22" s="7">
        <f t="shared" si="6"/>
        <v>2144.1899999999996</v>
      </c>
      <c r="Y22" s="2"/>
      <c r="Z22" s="6">
        <f t="shared" si="7"/>
        <v>0.3615225088517956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23.49</v>
      </c>
      <c r="E23" s="2"/>
      <c r="F23" s="6">
        <f t="shared" si="0"/>
        <v>0</v>
      </c>
      <c r="G23" s="2"/>
      <c r="H23" s="7">
        <v>18.811800000000002</v>
      </c>
      <c r="I23" s="2"/>
      <c r="J23" s="6">
        <f t="shared" si="1"/>
        <v>0</v>
      </c>
      <c r="K23" s="2"/>
      <c r="L23" s="7">
        <f t="shared" si="2"/>
        <v>4.6781999999999968</v>
      </c>
      <c r="M23" s="2"/>
      <c r="N23" s="6">
        <f t="shared" si="3"/>
        <v>0.24868433642713597</v>
      </c>
      <c r="O23" s="11"/>
      <c r="P23" s="7">
        <v>70.27</v>
      </c>
      <c r="Q23" s="2"/>
      <c r="R23" s="6">
        <f t="shared" si="4"/>
        <v>0</v>
      </c>
      <c r="S23" s="2"/>
      <c r="T23" s="7">
        <v>61.138350000000003</v>
      </c>
      <c r="U23" s="2"/>
      <c r="V23" s="6">
        <f t="shared" si="5"/>
        <v>0</v>
      </c>
      <c r="W23" s="2"/>
      <c r="X23" s="7">
        <f t="shared" si="6"/>
        <v>9.1316499999999934</v>
      </c>
      <c r="Y23" s="2"/>
      <c r="Z23" s="6">
        <f t="shared" si="7"/>
        <v>0.14936042598467236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680.03</v>
      </c>
      <c r="E24" s="2"/>
      <c r="F24" s="6">
        <f t="shared" si="0"/>
        <v>0</v>
      </c>
      <c r="G24" s="2"/>
      <c r="H24" s="7">
        <v>770.38800000000003</v>
      </c>
      <c r="I24" s="2"/>
      <c r="J24" s="6">
        <f t="shared" si="1"/>
        <v>0</v>
      </c>
      <c r="K24" s="2"/>
      <c r="L24" s="7">
        <f t="shared" si="2"/>
        <v>-90.358000000000061</v>
      </c>
      <c r="M24" s="2"/>
      <c r="N24" s="6">
        <f t="shared" si="3"/>
        <v>-0.11728895050286356</v>
      </c>
      <c r="O24" s="11"/>
      <c r="P24" s="7">
        <v>2040.09</v>
      </c>
      <c r="Q24" s="2"/>
      <c r="R24" s="6">
        <f t="shared" si="4"/>
        <v>0</v>
      </c>
      <c r="S24" s="2"/>
      <c r="T24" s="7">
        <v>2503.761</v>
      </c>
      <c r="U24" s="2"/>
      <c r="V24" s="6">
        <f t="shared" si="5"/>
        <v>0</v>
      </c>
      <c r="W24" s="2"/>
      <c r="X24" s="7">
        <f t="shared" si="6"/>
        <v>-463.67100000000005</v>
      </c>
      <c r="Y24" s="2"/>
      <c r="Z24" s="6">
        <f t="shared" si="7"/>
        <v>-0.18518980046418171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827.64</v>
      </c>
      <c r="E26" s="2"/>
      <c r="F26" s="6">
        <f t="shared" si="0"/>
        <v>0</v>
      </c>
      <c r="G26" s="2"/>
      <c r="H26" s="7">
        <v>268.74</v>
      </c>
      <c r="I26" s="2"/>
      <c r="J26" s="6">
        <f t="shared" si="1"/>
        <v>0</v>
      </c>
      <c r="K26" s="2"/>
      <c r="L26" s="7">
        <f t="shared" si="2"/>
        <v>558.9</v>
      </c>
      <c r="M26" s="2"/>
      <c r="N26" s="6">
        <f t="shared" si="3"/>
        <v>2.0797052913596783</v>
      </c>
      <c r="O26" s="11"/>
      <c r="P26" s="7">
        <v>2482.92</v>
      </c>
      <c r="Q26" s="2"/>
      <c r="R26" s="6">
        <f t="shared" si="4"/>
        <v>0</v>
      </c>
      <c r="S26" s="2"/>
      <c r="T26" s="7">
        <v>873.40499999999997</v>
      </c>
      <c r="U26" s="2"/>
      <c r="V26" s="6">
        <f t="shared" si="5"/>
        <v>0</v>
      </c>
      <c r="W26" s="2"/>
      <c r="X26" s="7">
        <f t="shared" si="6"/>
        <v>1609.5150000000001</v>
      </c>
      <c r="Y26" s="2"/>
      <c r="Z26" s="6">
        <f t="shared" si="7"/>
        <v>1.8428048843320111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413.26</v>
      </c>
      <c r="E27" s="2"/>
      <c r="F27" s="6">
        <f t="shared" si="0"/>
        <v>0</v>
      </c>
      <c r="G27" s="2"/>
      <c r="H27" s="7">
        <v>179.16</v>
      </c>
      <c r="I27" s="2"/>
      <c r="J27" s="6">
        <f t="shared" si="1"/>
        <v>0</v>
      </c>
      <c r="K27" s="2"/>
      <c r="L27" s="7">
        <f t="shared" si="2"/>
        <v>234.1</v>
      </c>
      <c r="M27" s="2"/>
      <c r="N27" s="6">
        <f t="shared" si="3"/>
        <v>1.3066532708193792</v>
      </c>
      <c r="O27" s="11"/>
      <c r="P27" s="7">
        <v>1239.78</v>
      </c>
      <c r="Q27" s="2"/>
      <c r="R27" s="6">
        <f t="shared" si="4"/>
        <v>0</v>
      </c>
      <c r="S27" s="2"/>
      <c r="T27" s="7">
        <v>582.27</v>
      </c>
      <c r="U27" s="2"/>
      <c r="V27" s="6">
        <f t="shared" si="5"/>
        <v>0</v>
      </c>
      <c r="W27" s="2"/>
      <c r="X27" s="7">
        <f t="shared" si="6"/>
        <v>657.51</v>
      </c>
      <c r="Y27" s="2"/>
      <c r="Z27" s="6">
        <f t="shared" si="7"/>
        <v>1.1292184038332733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31.27</v>
      </c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31.27</v>
      </c>
      <c r="M28" s="2"/>
      <c r="N28" s="6">
        <f t="shared" si="3"/>
        <v>0</v>
      </c>
      <c r="O28" s="11"/>
      <c r="P28" s="7">
        <v>195.17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195.17</v>
      </c>
      <c r="Y28" s="2"/>
      <c r="Z28" s="6">
        <f t="shared" si="7"/>
        <v>0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7615.56</v>
      </c>
      <c r="E29" s="1"/>
      <c r="F29" s="5">
        <f t="shared" ref="F29:F39" si="8">IF(D$12=0,0,D29/D$12)</f>
        <v>0</v>
      </c>
      <c r="G29" s="1"/>
      <c r="H29" s="1">
        <f>SUM(OSRRefH22_1x_0)</f>
        <v>8510.1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-894.54</v>
      </c>
      <c r="M29" s="1"/>
      <c r="N29" s="5">
        <f t="shared" ref="N29:N39" si="11">IF(H29=0,0,L29/H29)</f>
        <v>-0.10511509852998201</v>
      </c>
      <c r="O29" s="14"/>
      <c r="P29" s="1">
        <f>SUM(OSRRefP22_1x_0)</f>
        <v>27774.639999999999</v>
      </c>
      <c r="Q29" s="1"/>
      <c r="R29" s="5">
        <f t="shared" ref="R29:R39" si="12">IF(P$12=0,0,P29/P$12)</f>
        <v>0</v>
      </c>
      <c r="S29" s="1"/>
      <c r="T29" s="1">
        <f>SUM(OSRRefT22_1x_0)</f>
        <v>27657.825000000001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116.81499999999869</v>
      </c>
      <c r="Y29" s="1"/>
      <c r="Z29" s="5">
        <f t="shared" ref="Z29:Z39" si="15">IF(T29=0,0,X29/T29)</f>
        <v>4.2235786798129893E-3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>
        <v>7615.56</v>
      </c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7615.56</v>
      </c>
      <c r="M30" s="2"/>
      <c r="N30" s="6">
        <f t="shared" si="11"/>
        <v>0</v>
      </c>
      <c r="O30" s="11"/>
      <c r="P30" s="7">
        <v>27774.639999999999</v>
      </c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27774.639999999999</v>
      </c>
      <c r="Y30" s="2"/>
      <c r="Z30" s="6">
        <f t="shared" si="15"/>
        <v>0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8510.1</v>
      </c>
      <c r="I31" s="2"/>
      <c r="J31" s="6">
        <f t="shared" si="9"/>
        <v>0</v>
      </c>
      <c r="K31" s="2"/>
      <c r="L31" s="7">
        <f t="shared" si="10"/>
        <v>-8510.1</v>
      </c>
      <c r="M31" s="2"/>
      <c r="N31" s="6">
        <f t="shared" si="11"/>
        <v>-1</v>
      </c>
      <c r="O31" s="11"/>
      <c r="P31" s="7"/>
      <c r="Q31" s="2"/>
      <c r="R31" s="6">
        <f t="shared" si="12"/>
        <v>0</v>
      </c>
      <c r="S31" s="2"/>
      <c r="T31" s="7">
        <v>27657.825000000001</v>
      </c>
      <c r="U31" s="2"/>
      <c r="V31" s="6">
        <f t="shared" si="13"/>
        <v>0</v>
      </c>
      <c r="W31" s="2"/>
      <c r="X31" s="7">
        <f t="shared" si="14"/>
        <v>-27657.825000000001</v>
      </c>
      <c r="Y31" s="2"/>
      <c r="Z31" s="6">
        <f t="shared" si="15"/>
        <v>-1</v>
      </c>
    </row>
    <row r="32" spans="1:26" s="24" customFormat="1" hidden="1" outlineLevel="2" x14ac:dyDescent="0.25">
      <c r="A32" s="29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9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9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25">
      <c r="A40" s="27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200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-200</v>
      </c>
      <c r="M40" s="1"/>
      <c r="N40" s="5">
        <f t="shared" ref="N40:N46" si="19">IF(H40=0,0,L40/H40)</f>
        <v>-1</v>
      </c>
      <c r="O40" s="14"/>
      <c r="P40" s="1">
        <f>SUM(OSRRefP22_2x_0)</f>
        <v>170</v>
      </c>
      <c r="Q40" s="1"/>
      <c r="R40" s="5">
        <f t="shared" ref="R40:R46" si="20">IF(P$12=0,0,P40/P$12)</f>
        <v>0</v>
      </c>
      <c r="S40" s="1"/>
      <c r="T40" s="1">
        <f>SUM(OSRRefT22_2x_0)</f>
        <v>600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-430</v>
      </c>
      <c r="Y40" s="1"/>
      <c r="Z40" s="5">
        <f t="shared" ref="Z40:Z46" si="23">IF(T40=0,0,X40/T40)</f>
        <v>-0.71666666666666667</v>
      </c>
    </row>
    <row r="41" spans="1:26" s="24" customFormat="1" hidden="1" outlineLevel="2" x14ac:dyDescent="0.25">
      <c r="A41" s="29"/>
      <c r="B41" s="11" t="str">
        <f>CONCATENATE("          ", "6279", " - ", "GENERAL EXPENSE")</f>
        <v xml:space="preserve">          6279 - GENERAL EXPENSE</v>
      </c>
      <c r="C41" s="11"/>
      <c r="D41" s="7"/>
      <c r="E41" s="2"/>
      <c r="F41" s="6">
        <f t="shared" si="16"/>
        <v>0</v>
      </c>
      <c r="G41" s="2"/>
      <c r="H41" s="7">
        <v>200</v>
      </c>
      <c r="I41" s="2"/>
      <c r="J41" s="6">
        <f t="shared" si="17"/>
        <v>0</v>
      </c>
      <c r="K41" s="2"/>
      <c r="L41" s="7">
        <f t="shared" si="18"/>
        <v>-200</v>
      </c>
      <c r="M41" s="2"/>
      <c r="N41" s="6">
        <f t="shared" si="19"/>
        <v>-1</v>
      </c>
      <c r="O41" s="11"/>
      <c r="P41" s="7">
        <v>170</v>
      </c>
      <c r="Q41" s="2"/>
      <c r="R41" s="6">
        <f t="shared" si="20"/>
        <v>0</v>
      </c>
      <c r="S41" s="2"/>
      <c r="T41" s="7">
        <v>600</v>
      </c>
      <c r="U41" s="2"/>
      <c r="V41" s="6">
        <f t="shared" si="21"/>
        <v>0</v>
      </c>
      <c r="W41" s="2"/>
      <c r="X41" s="7">
        <f t="shared" si="22"/>
        <v>-430</v>
      </c>
      <c r="Y41" s="2"/>
      <c r="Z41" s="6">
        <f t="shared" si="23"/>
        <v>-0.71666666666666667</v>
      </c>
    </row>
    <row r="42" spans="1:26" s="28" customFormat="1" outlineLevel="1" collapsed="1" x14ac:dyDescent="0.25">
      <c r="A42" s="27"/>
      <c r="B42" s="14" t="str">
        <f>CONCATENATE("     ","Repair and Maintenance                            ")</f>
        <v xml:space="preserve">     Repair and Maintenance                            </v>
      </c>
      <c r="C42" s="14"/>
      <c r="D42" s="1">
        <f>SUM(OSRRefD22_3x_0)</f>
        <v>3500</v>
      </c>
      <c r="E42" s="1"/>
      <c r="F42" s="5">
        <f t="shared" si="16"/>
        <v>0</v>
      </c>
      <c r="G42" s="1"/>
      <c r="H42" s="1">
        <f>SUM(OSRRefH22_3x_0)</f>
        <v>3500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4"/>
      <c r="P42" s="1">
        <f>SUM(OSRRefP22_3x_0)</f>
        <v>10500</v>
      </c>
      <c r="Q42" s="1"/>
      <c r="R42" s="5">
        <f t="shared" si="20"/>
        <v>0</v>
      </c>
      <c r="S42" s="1"/>
      <c r="T42" s="1">
        <f>SUM(OSRRefT22_3x_0)</f>
        <v>10500</v>
      </c>
      <c r="U42" s="1"/>
      <c r="V42" s="5">
        <f t="shared" si="21"/>
        <v>0</v>
      </c>
      <c r="W42" s="1"/>
      <c r="X42" s="1">
        <f t="shared" si="22"/>
        <v>0</v>
      </c>
      <c r="Y42" s="1"/>
      <c r="Z42" s="5">
        <f t="shared" si="23"/>
        <v>0</v>
      </c>
    </row>
    <row r="43" spans="1:26" s="24" customFormat="1" hidden="1" outlineLevel="2" x14ac:dyDescent="0.25">
      <c r="A43" s="29"/>
      <c r="B43" s="11" t="str">
        <f>CONCATENATE("          ", "6371", " - ", "COMPUTER SOFTWARE MAINTENANCE")</f>
        <v xml:space="preserve">          6371 - COMPUTER SOFTWARE MAINTENANCE</v>
      </c>
      <c r="C43" s="11"/>
      <c r="D43" s="7">
        <v>3500</v>
      </c>
      <c r="E43" s="2"/>
      <c r="F43" s="6">
        <f t="shared" si="16"/>
        <v>0</v>
      </c>
      <c r="G43" s="2"/>
      <c r="H43" s="7">
        <v>3500</v>
      </c>
      <c r="I43" s="2"/>
      <c r="J43" s="6">
        <f t="shared" si="17"/>
        <v>0</v>
      </c>
      <c r="K43" s="2"/>
      <c r="L43" s="7">
        <f t="shared" si="18"/>
        <v>0</v>
      </c>
      <c r="M43" s="2"/>
      <c r="N43" s="6">
        <f t="shared" si="19"/>
        <v>0</v>
      </c>
      <c r="O43" s="11"/>
      <c r="P43" s="7">
        <v>10500</v>
      </c>
      <c r="Q43" s="2"/>
      <c r="R43" s="6">
        <f t="shared" si="20"/>
        <v>0</v>
      </c>
      <c r="S43" s="2"/>
      <c r="T43" s="7">
        <v>10500</v>
      </c>
      <c r="U43" s="2"/>
      <c r="V43" s="6">
        <f t="shared" si="21"/>
        <v>0</v>
      </c>
      <c r="W43" s="2"/>
      <c r="X43" s="7">
        <f t="shared" si="22"/>
        <v>0</v>
      </c>
      <c r="Y43" s="2"/>
      <c r="Z43" s="6">
        <f t="shared" si="23"/>
        <v>0</v>
      </c>
    </row>
    <row r="44" spans="1:26" s="28" customFormat="1" outlineLevel="1" collapsed="1" x14ac:dyDescent="0.25">
      <c r="A44" s="27"/>
      <c r="B44" s="14" t="str">
        <f>CONCATENATE("     ","Supplies                                          ")</f>
        <v xml:space="preserve">     Supplies                                          </v>
      </c>
      <c r="C44" s="14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342</v>
      </c>
      <c r="I44" s="1"/>
      <c r="J44" s="5">
        <f t="shared" si="17"/>
        <v>0</v>
      </c>
      <c r="K44" s="1"/>
      <c r="L44" s="1">
        <f t="shared" si="18"/>
        <v>-342</v>
      </c>
      <c r="M44" s="1"/>
      <c r="N44" s="5">
        <f t="shared" si="19"/>
        <v>-1</v>
      </c>
      <c r="O44" s="14"/>
      <c r="P44" s="1">
        <f>SUM(OSRRefP22_4x_0)</f>
        <v>44.53</v>
      </c>
      <c r="Q44" s="1"/>
      <c r="R44" s="5">
        <f t="shared" si="20"/>
        <v>0</v>
      </c>
      <c r="S44" s="1"/>
      <c r="T44" s="1">
        <f>SUM(OSRRefT22_4x_0)</f>
        <v>1026</v>
      </c>
      <c r="U44" s="1"/>
      <c r="V44" s="5">
        <f t="shared" si="21"/>
        <v>0</v>
      </c>
      <c r="W44" s="1"/>
      <c r="X44" s="1">
        <f t="shared" si="22"/>
        <v>-981.47</v>
      </c>
      <c r="Y44" s="1"/>
      <c r="Z44" s="5">
        <f t="shared" si="23"/>
        <v>-0.956598440545809</v>
      </c>
    </row>
    <row r="45" spans="1:26" s="24" customFormat="1" hidden="1" outlineLevel="2" x14ac:dyDescent="0.25">
      <c r="A45" s="29"/>
      <c r="B45" s="11" t="str">
        <f>CONCATENATE("          ", "6234", " - ", "EXPENDABLE SUPPLIES &amp; EQUIPMEN")</f>
        <v xml:space="preserve">          6234 - EXPENDABLE SUPPLIES &amp; EQUIPMEN</v>
      </c>
      <c r="C45" s="11"/>
      <c r="D45" s="7"/>
      <c r="E45" s="2"/>
      <c r="F45" s="6">
        <f t="shared" si="16"/>
        <v>0</v>
      </c>
      <c r="G45" s="2"/>
      <c r="H45" s="7">
        <v>342</v>
      </c>
      <c r="I45" s="2"/>
      <c r="J45" s="6">
        <f t="shared" si="17"/>
        <v>0</v>
      </c>
      <c r="K45" s="2"/>
      <c r="L45" s="7">
        <f t="shared" si="18"/>
        <v>-342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1026</v>
      </c>
      <c r="U45" s="2"/>
      <c r="V45" s="6">
        <f t="shared" si="21"/>
        <v>0</v>
      </c>
      <c r="W45" s="2"/>
      <c r="X45" s="7">
        <f t="shared" si="22"/>
        <v>-1026</v>
      </c>
      <c r="Y45" s="2"/>
      <c r="Z45" s="6">
        <f t="shared" si="23"/>
        <v>-1</v>
      </c>
    </row>
    <row r="46" spans="1:26" s="24" customFormat="1" hidden="1" outlineLevel="2" x14ac:dyDescent="0.25">
      <c r="A46" s="29"/>
      <c r="B46" s="11" t="str">
        <f>CONCATENATE("          ", "6241", " - ", "OFFICE EXPENSE")</f>
        <v xml:space="preserve">          6241 - OFFICE EXPENSE</v>
      </c>
      <c r="C46" s="11"/>
      <c r="D46" s="7"/>
      <c r="E46" s="2"/>
      <c r="F46" s="6">
        <f t="shared" si="16"/>
        <v>0</v>
      </c>
      <c r="G46" s="2"/>
      <c r="H46" s="7"/>
      <c r="I46" s="2"/>
      <c r="J46" s="6">
        <f t="shared" si="17"/>
        <v>0</v>
      </c>
      <c r="K46" s="2"/>
      <c r="L46" s="7">
        <f t="shared" si="18"/>
        <v>0</v>
      </c>
      <c r="M46" s="2"/>
      <c r="N46" s="6">
        <f t="shared" si="19"/>
        <v>0</v>
      </c>
      <c r="O46" s="11"/>
      <c r="P46" s="7">
        <v>44.53</v>
      </c>
      <c r="Q46" s="2"/>
      <c r="R46" s="6">
        <f t="shared" si="20"/>
        <v>0</v>
      </c>
      <c r="S46" s="2"/>
      <c r="T46" s="7"/>
      <c r="U46" s="2"/>
      <c r="V46" s="6">
        <f t="shared" si="21"/>
        <v>0</v>
      </c>
      <c r="W46" s="2"/>
      <c r="X46" s="7">
        <f t="shared" si="22"/>
        <v>44.53</v>
      </c>
      <c r="Y46" s="2"/>
      <c r="Z46" s="6">
        <f t="shared" si="23"/>
        <v>0</v>
      </c>
    </row>
    <row r="47" spans="1:26" s="28" customFormat="1" outlineLevel="1" collapsed="1" x14ac:dyDescent="0.25">
      <c r="A47" s="27"/>
      <c r="B47" s="14" t="str">
        <f>CONCATENATE("     ","Telephone/Data Lines                              ")</f>
        <v xml:space="preserve">     Telephone/Data Lines                              </v>
      </c>
      <c r="C47" s="14"/>
      <c r="D47" s="1">
        <f>SUM(OSRRefD22_5x_0)</f>
        <v>75</v>
      </c>
      <c r="E47" s="1"/>
      <c r="F47" s="5">
        <f t="shared" ref="F47:F49" si="24">IF(D$12=0,0,D47/D$12)</f>
        <v>0</v>
      </c>
      <c r="G47" s="1"/>
      <c r="H47" s="1">
        <f>SUM(OSRRefH22_5x_0)</f>
        <v>83</v>
      </c>
      <c r="I47" s="1"/>
      <c r="J47" s="5">
        <f t="shared" ref="J47:J49" si="25">IF(H$12=0,0,H47/H$12)</f>
        <v>0</v>
      </c>
      <c r="K47" s="1"/>
      <c r="L47" s="1">
        <f t="shared" ref="L47:L49" si="26">+D47-H47</f>
        <v>-8</v>
      </c>
      <c r="M47" s="1"/>
      <c r="N47" s="5">
        <f t="shared" ref="N47:N49" si="27">IF(H47=0,0,L47/H47)</f>
        <v>-9.6385542168674704E-2</v>
      </c>
      <c r="O47" s="14"/>
      <c r="P47" s="1">
        <f>SUM(OSRRefP22_5x_0)</f>
        <v>208</v>
      </c>
      <c r="Q47" s="1"/>
      <c r="R47" s="5">
        <f t="shared" ref="R47:R49" si="28">IF(P$12=0,0,P47/P$12)</f>
        <v>0</v>
      </c>
      <c r="S47" s="1"/>
      <c r="T47" s="1">
        <f>SUM(OSRRefT22_5x_0)</f>
        <v>249</v>
      </c>
      <c r="U47" s="1"/>
      <c r="V47" s="5">
        <f t="shared" ref="V47:V49" si="29">IF(T$12=0,0,T47/T$12)</f>
        <v>0</v>
      </c>
      <c r="W47" s="1"/>
      <c r="X47" s="1">
        <f t="shared" ref="X47:X49" si="30">+P47-T47</f>
        <v>-41</v>
      </c>
      <c r="Y47" s="1"/>
      <c r="Z47" s="5">
        <f t="shared" ref="Z47:Z49" si="31">IF(T47=0,0,X47/T47)</f>
        <v>-0.1646586345381526</v>
      </c>
    </row>
    <row r="48" spans="1:26" s="24" customFormat="1" hidden="1" outlineLevel="2" x14ac:dyDescent="0.25">
      <c r="A48" s="29"/>
      <c r="B48" s="11" t="str">
        <f>CONCATENATE("          ", "6303", " - ", "DATA PHONE LINES")</f>
        <v xml:space="preserve">          6303 - DATA PHONE LINES</v>
      </c>
      <c r="C48" s="11"/>
      <c r="D48" s="7"/>
      <c r="E48" s="2"/>
      <c r="F48" s="6">
        <f t="shared" si="24"/>
        <v>0</v>
      </c>
      <c r="G48" s="2"/>
      <c r="H48" s="7">
        <v>58</v>
      </c>
      <c r="I48" s="2"/>
      <c r="J48" s="6">
        <f t="shared" si="25"/>
        <v>0</v>
      </c>
      <c r="K48" s="2"/>
      <c r="L48" s="7">
        <f t="shared" si="26"/>
        <v>-58</v>
      </c>
      <c r="M48" s="2"/>
      <c r="N48" s="6">
        <f t="shared" si="27"/>
        <v>-1</v>
      </c>
      <c r="O48" s="11"/>
      <c r="P48" s="7"/>
      <c r="Q48" s="2"/>
      <c r="R48" s="6">
        <f t="shared" si="28"/>
        <v>0</v>
      </c>
      <c r="S48" s="2"/>
      <c r="T48" s="7">
        <v>174</v>
      </c>
      <c r="U48" s="2"/>
      <c r="V48" s="6">
        <f t="shared" si="29"/>
        <v>0</v>
      </c>
      <c r="W48" s="2"/>
      <c r="X48" s="7">
        <f t="shared" si="30"/>
        <v>-174</v>
      </c>
      <c r="Y48" s="2"/>
      <c r="Z48" s="6">
        <f t="shared" si="31"/>
        <v>-1</v>
      </c>
    </row>
    <row r="49" spans="1:26" s="24" customFormat="1" hidden="1" outlineLevel="2" x14ac:dyDescent="0.25">
      <c r="A49" s="29"/>
      <c r="B49" s="11" t="str">
        <f>CONCATENATE("          ", "6309", " - ", "TELEPHONE")</f>
        <v xml:space="preserve">          6309 - TELEPHONE</v>
      </c>
      <c r="C49" s="11"/>
      <c r="D49" s="7">
        <v>75</v>
      </c>
      <c r="E49" s="2"/>
      <c r="F49" s="6">
        <f t="shared" si="24"/>
        <v>0</v>
      </c>
      <c r="G49" s="2"/>
      <c r="H49" s="7">
        <v>25</v>
      </c>
      <c r="I49" s="2"/>
      <c r="J49" s="6">
        <f t="shared" si="25"/>
        <v>0</v>
      </c>
      <c r="K49" s="2"/>
      <c r="L49" s="7">
        <f t="shared" si="26"/>
        <v>50</v>
      </c>
      <c r="M49" s="2"/>
      <c r="N49" s="6">
        <f t="shared" si="27"/>
        <v>2</v>
      </c>
      <c r="O49" s="11"/>
      <c r="P49" s="7">
        <v>208</v>
      </c>
      <c r="Q49" s="2"/>
      <c r="R49" s="6">
        <f t="shared" si="28"/>
        <v>0</v>
      </c>
      <c r="S49" s="2"/>
      <c r="T49" s="7">
        <v>75</v>
      </c>
      <c r="U49" s="2"/>
      <c r="V49" s="6">
        <f t="shared" si="29"/>
        <v>0</v>
      </c>
      <c r="W49" s="2"/>
      <c r="X49" s="7">
        <f t="shared" si="30"/>
        <v>133</v>
      </c>
      <c r="Y49" s="2"/>
      <c r="Z49" s="6">
        <f t="shared" si="31"/>
        <v>1.7733333333333334</v>
      </c>
    </row>
    <row r="50" spans="1:26" s="28" customFormat="1" outlineLevel="1" collapsed="1" x14ac:dyDescent="0.25">
      <c r="A50" s="27"/>
      <c r="B50" s="14" t="str">
        <f>CONCATENATE("     ","Training                                          ")</f>
        <v xml:space="preserve">     Training                                          </v>
      </c>
      <c r="C50" s="14"/>
      <c r="D50" s="1">
        <f>SUM(OSRRefD22_6x_0)</f>
        <v>0</v>
      </c>
      <c r="E50" s="1"/>
      <c r="F50" s="5">
        <f t="shared" ref="F50:F53" si="32">IF(D$12=0,0,D50/D$12)</f>
        <v>0</v>
      </c>
      <c r="G50" s="1"/>
      <c r="H50" s="1">
        <f>SUM(OSRRefH22_6x_0)</f>
        <v>300</v>
      </c>
      <c r="I50" s="1"/>
      <c r="J50" s="5">
        <f t="shared" ref="J50:J53" si="33">IF(H$12=0,0,H50/H$12)</f>
        <v>0</v>
      </c>
      <c r="K50" s="1"/>
      <c r="L50" s="1">
        <f t="shared" ref="L50:L53" si="34">+D50-H50</f>
        <v>-300</v>
      </c>
      <c r="M50" s="1"/>
      <c r="N50" s="5">
        <f t="shared" ref="N50:N53" si="35">IF(H50=0,0,L50/H50)</f>
        <v>-1</v>
      </c>
      <c r="O50" s="14"/>
      <c r="P50" s="1">
        <f>SUM(OSRRefP22_6x_0)</f>
        <v>0</v>
      </c>
      <c r="Q50" s="1"/>
      <c r="R50" s="5">
        <f t="shared" ref="R50:R53" si="36">IF(P$12=0,0,P50/P$12)</f>
        <v>0</v>
      </c>
      <c r="S50" s="1"/>
      <c r="T50" s="1">
        <f>SUM(OSRRefT22_6x_0)</f>
        <v>900</v>
      </c>
      <c r="U50" s="1"/>
      <c r="V50" s="5">
        <f t="shared" ref="V50:V53" si="37">IF(T$12=0,0,T50/T$12)</f>
        <v>0</v>
      </c>
      <c r="W50" s="1"/>
      <c r="X50" s="1">
        <f t="shared" ref="X50:X53" si="38">+P50-T50</f>
        <v>-900</v>
      </c>
      <c r="Y50" s="1"/>
      <c r="Z50" s="5">
        <f t="shared" ref="Z50:Z53" si="39">IF(T50=0,0,X50/T50)</f>
        <v>-1</v>
      </c>
    </row>
    <row r="51" spans="1:26" s="24" customFormat="1" hidden="1" outlineLevel="2" x14ac:dyDescent="0.25">
      <c r="A51" s="29"/>
      <c r="B51" s="11" t="str">
        <f>CONCATENATE("          ", "6376", " - ", "TRAINING")</f>
        <v xml:space="preserve">          6376 - TRAINING</v>
      </c>
      <c r="C51" s="11"/>
      <c r="D51" s="7"/>
      <c r="E51" s="2"/>
      <c r="F51" s="6">
        <f t="shared" si="32"/>
        <v>0</v>
      </c>
      <c r="G51" s="2"/>
      <c r="H51" s="7">
        <v>300</v>
      </c>
      <c r="I51" s="2"/>
      <c r="J51" s="6">
        <f t="shared" si="33"/>
        <v>0</v>
      </c>
      <c r="K51" s="2"/>
      <c r="L51" s="7">
        <f t="shared" si="34"/>
        <v>-300</v>
      </c>
      <c r="M51" s="2"/>
      <c r="N51" s="6">
        <f t="shared" si="35"/>
        <v>-1</v>
      </c>
      <c r="O51" s="11"/>
      <c r="P51" s="7"/>
      <c r="Q51" s="2"/>
      <c r="R51" s="6">
        <f t="shared" si="36"/>
        <v>0</v>
      </c>
      <c r="S51" s="2"/>
      <c r="T51" s="7">
        <v>900</v>
      </c>
      <c r="U51" s="2"/>
      <c r="V51" s="6">
        <f t="shared" si="37"/>
        <v>0</v>
      </c>
      <c r="W51" s="2"/>
      <c r="X51" s="7">
        <f t="shared" si="38"/>
        <v>-900</v>
      </c>
      <c r="Y51" s="2"/>
      <c r="Z51" s="6">
        <f t="shared" si="39"/>
        <v>-1</v>
      </c>
    </row>
    <row r="52" spans="1:26" s="28" customFormat="1" outlineLevel="1" collapsed="1" x14ac:dyDescent="0.25">
      <c r="A52" s="27"/>
      <c r="B52" s="14" t="str">
        <f>CONCATENATE("     ","Travel                                            ")</f>
        <v xml:space="preserve">     Travel                                            </v>
      </c>
      <c r="C52" s="14"/>
      <c r="D52" s="1">
        <f>SUM(OSRRefD22_7x_0)</f>
        <v>0</v>
      </c>
      <c r="E52" s="1"/>
      <c r="F52" s="5">
        <f t="shared" si="32"/>
        <v>0</v>
      </c>
      <c r="G52" s="1"/>
      <c r="H52" s="1">
        <f>SUM(OSRRefH22_7x_0)</f>
        <v>0</v>
      </c>
      <c r="I52" s="1"/>
      <c r="J52" s="5">
        <f t="shared" si="33"/>
        <v>0</v>
      </c>
      <c r="K52" s="1"/>
      <c r="L52" s="1">
        <f t="shared" si="34"/>
        <v>0</v>
      </c>
      <c r="M52" s="1"/>
      <c r="N52" s="5">
        <f t="shared" si="35"/>
        <v>0</v>
      </c>
      <c r="O52" s="14"/>
      <c r="P52" s="1">
        <f>SUM(OSRRefP22_7x_0)</f>
        <v>595</v>
      </c>
      <c r="Q52" s="1"/>
      <c r="R52" s="5">
        <f t="shared" si="36"/>
        <v>0</v>
      </c>
      <c r="S52" s="1"/>
      <c r="T52" s="1">
        <f>SUM(OSRRefT22_7x_0)</f>
        <v>0</v>
      </c>
      <c r="U52" s="1"/>
      <c r="V52" s="5">
        <f t="shared" si="37"/>
        <v>0</v>
      </c>
      <c r="W52" s="1"/>
      <c r="X52" s="1">
        <f t="shared" si="38"/>
        <v>595</v>
      </c>
      <c r="Y52" s="1"/>
      <c r="Z52" s="5">
        <f t="shared" si="39"/>
        <v>0</v>
      </c>
    </row>
    <row r="53" spans="1:26" s="24" customFormat="1" hidden="1" outlineLevel="2" x14ac:dyDescent="0.25">
      <c r="A53" s="29"/>
      <c r="B53" s="11" t="str">
        <f>CONCATENATE("          ", "6292", " - ", "TRAVEL/CONFERENCE")</f>
        <v xml:space="preserve">          6292 - TRAVEL/CONFERENCE</v>
      </c>
      <c r="C53" s="11"/>
      <c r="D53" s="7"/>
      <c r="E53" s="2"/>
      <c r="F53" s="6">
        <f t="shared" si="32"/>
        <v>0</v>
      </c>
      <c r="G53" s="2"/>
      <c r="H53" s="7"/>
      <c r="I53" s="2"/>
      <c r="J53" s="6">
        <f t="shared" si="33"/>
        <v>0</v>
      </c>
      <c r="K53" s="2"/>
      <c r="L53" s="7">
        <f t="shared" si="34"/>
        <v>0</v>
      </c>
      <c r="M53" s="2"/>
      <c r="N53" s="6">
        <f t="shared" si="35"/>
        <v>0</v>
      </c>
      <c r="O53" s="11"/>
      <c r="P53" s="7">
        <v>595</v>
      </c>
      <c r="Q53" s="2"/>
      <c r="R53" s="6">
        <f t="shared" si="36"/>
        <v>0</v>
      </c>
      <c r="S53" s="2"/>
      <c r="T53" s="7"/>
      <c r="U53" s="2"/>
      <c r="V53" s="6">
        <f t="shared" si="37"/>
        <v>0</v>
      </c>
      <c r="W53" s="2"/>
      <c r="X53" s="7">
        <f t="shared" si="38"/>
        <v>595</v>
      </c>
      <c r="Y53" s="2"/>
      <c r="Z53" s="6">
        <f t="shared" si="39"/>
        <v>0</v>
      </c>
    </row>
    <row r="54" spans="1:26" s="58" customFormat="1" x14ac:dyDescent="0.25">
      <c r="A54" s="36"/>
      <c r="B54" s="36"/>
      <c r="C54" s="36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6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6" t="s">
        <v>293</v>
      </c>
      <c r="C55" s="10"/>
      <c r="D55" s="4">
        <f>SUM(0)</f>
        <v>0</v>
      </c>
      <c r="E55" s="4"/>
      <c r="F55" s="12">
        <f>IF(D$12=0,0,D55/D$12)</f>
        <v>0</v>
      </c>
      <c r="G55" s="4"/>
      <c r="H55" s="4">
        <f>SUM(0)</f>
        <v>0</v>
      </c>
      <c r="I55" s="4"/>
      <c r="J55" s="12">
        <f>IF(H$12=0,0,H55/H$12)</f>
        <v>0</v>
      </c>
      <c r="K55" s="4"/>
      <c r="L55" s="4">
        <f>+D55-H55</f>
        <v>0</v>
      </c>
      <c r="M55" s="4"/>
      <c r="N55" s="12">
        <f>IF(H55=0,0,L55/H55)</f>
        <v>0</v>
      </c>
      <c r="O55" s="10"/>
      <c r="P55" s="4">
        <f>SUM(0)</f>
        <v>0</v>
      </c>
      <c r="Q55" s="4"/>
      <c r="R55" s="12">
        <f>IF(P$12=0,0,P55/P$12)</f>
        <v>0</v>
      </c>
      <c r="S55" s="4"/>
      <c r="T55" s="4">
        <f>SUM(0)</f>
        <v>0</v>
      </c>
      <c r="U55" s="4"/>
      <c r="V55" s="12">
        <f>IF(T$12=0,0,T55/T$12)</f>
        <v>0</v>
      </c>
      <c r="W55" s="4"/>
      <c r="X55" s="4">
        <f>+P55-T55</f>
        <v>0</v>
      </c>
      <c r="Y55" s="4"/>
      <c r="Z55" s="12">
        <f>IF(T55=0,0,X55/T55)</f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10"/>
      <c r="B57" s="25" t="s">
        <v>277</v>
      </c>
      <c r="C57" s="25"/>
      <c r="D57" s="21">
        <f>+D16-D18+D55</f>
        <v>-16881.870000000003</v>
      </c>
      <c r="E57" s="13"/>
      <c r="F57" s="20">
        <f>IF(D$12=0,0,D57/D$12)</f>
        <v>0</v>
      </c>
      <c r="G57" s="13"/>
      <c r="H57" s="21">
        <f>+H16-H18+H55</f>
        <v>-17174.263740000002</v>
      </c>
      <c r="I57" s="13"/>
      <c r="J57" s="20">
        <f>IF(H$12=0,0,H57/H$12)</f>
        <v>0</v>
      </c>
      <c r="K57" s="16"/>
      <c r="L57" s="21">
        <f>+D57-H57</f>
        <v>292.39373999999953</v>
      </c>
      <c r="M57" s="16"/>
      <c r="N57" s="20">
        <f>IF(H57=0,0,L57/H57)</f>
        <v>-1.7025110620549927E-2</v>
      </c>
      <c r="O57" s="26"/>
      <c r="P57" s="21">
        <f>+P16-P18+P55</f>
        <v>-56436.33</v>
      </c>
      <c r="Q57" s="13"/>
      <c r="R57" s="20">
        <f>IF(P$12=0,0,P57/P$12)</f>
        <v>0</v>
      </c>
      <c r="S57" s="13"/>
      <c r="T57" s="21">
        <f>+T16-T18+T55</f>
        <v>-54215.857155000005</v>
      </c>
      <c r="U57" s="13"/>
      <c r="V57" s="20">
        <f>IF(T$12=0,0,T57/T$12)</f>
        <v>0</v>
      </c>
      <c r="W57" s="16"/>
      <c r="X57" s="21">
        <f>+P57-T57</f>
        <v>-2220.4728449999966</v>
      </c>
      <c r="Y57" s="16"/>
      <c r="Z57" s="20">
        <f>IF(T57=0,0,X57/T57)</f>
        <v>4.0956151235454839E-2</v>
      </c>
    </row>
    <row r="58" spans="1:26" x14ac:dyDescent="0.25">
      <c r="A58" s="9"/>
      <c r="B58" s="10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52"/>
      <c r="B59" s="10" t="s">
        <v>128</v>
      </c>
      <c r="C59" s="10"/>
      <c r="D59" s="4"/>
      <c r="E59" s="4"/>
      <c r="F59" s="12">
        <f>IF(D$12=0,0,D59/D$12)</f>
        <v>0</v>
      </c>
      <c r="G59" s="4"/>
      <c r="H59" s="4"/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/>
      <c r="Q59" s="4"/>
      <c r="R59" s="12">
        <f>IF(P$12=0,0,P59/P$12)</f>
        <v>0</v>
      </c>
      <c r="S59" s="4"/>
      <c r="T59" s="4"/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ht="15.75" thickBot="1" x14ac:dyDescent="0.3">
      <c r="A61" s="10"/>
      <c r="B61" s="25" t="s">
        <v>126</v>
      </c>
      <c r="C61" s="25"/>
      <c r="D61" s="33">
        <f>+D57-D59</f>
        <v>-16881.870000000003</v>
      </c>
      <c r="E61" s="13"/>
      <c r="F61" s="31">
        <f>IF(D$12=0,0,D61/D$12)</f>
        <v>0</v>
      </c>
      <c r="G61" s="13"/>
      <c r="H61" s="33">
        <f>+H57-H59</f>
        <v>-17174.263740000002</v>
      </c>
      <c r="I61" s="13"/>
      <c r="J61" s="31">
        <f>IF(H$12=0,0,H61/H$12)</f>
        <v>0</v>
      </c>
      <c r="K61" s="16"/>
      <c r="L61" s="33">
        <f>D61-H61</f>
        <v>292.39373999999953</v>
      </c>
      <c r="M61" s="16"/>
      <c r="N61" s="31">
        <f>IF(H61=0,0,L61/H61)</f>
        <v>-1.7025110620549927E-2</v>
      </c>
      <c r="O61" s="26"/>
      <c r="P61" s="33">
        <f>+P57-P59</f>
        <v>-56436.33</v>
      </c>
      <c r="Q61" s="13"/>
      <c r="R61" s="31">
        <f>IF(P$12=0,0,P61/P$12)</f>
        <v>0</v>
      </c>
      <c r="S61" s="13"/>
      <c r="T61" s="33">
        <f>+T57-T59</f>
        <v>-54215.857155000005</v>
      </c>
      <c r="U61" s="13"/>
      <c r="V61" s="31">
        <f>IF(T$12=0,0,T61/T$12)</f>
        <v>0</v>
      </c>
      <c r="W61" s="16"/>
      <c r="X61" s="33">
        <f>P61-T61</f>
        <v>-2220.4728449999966</v>
      </c>
      <c r="Y61" s="16"/>
      <c r="Z61" s="31">
        <f>IF(T61=0,0,X61/T61)</f>
        <v>4.0956151235454839E-2</v>
      </c>
    </row>
    <row r="62" spans="1:26" ht="15.75" thickTop="1" x14ac:dyDescent="0.25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5" t="s">
        <v>294</v>
      </c>
      <c r="C64" s="25"/>
      <c r="D64" s="35">
        <f>SUM(D61:D63)</f>
        <v>-16881.870000000003</v>
      </c>
      <c r="E64" s="13"/>
      <c r="F64" s="34">
        <f>IF(D$12=0,0,D64/D$12)</f>
        <v>0</v>
      </c>
      <c r="G64" s="13"/>
      <c r="H64" s="35">
        <f>SUM(H61:H63)</f>
        <v>-17174.263740000002</v>
      </c>
      <c r="I64" s="13"/>
      <c r="J64" s="34">
        <f>IF(H$12=0,0,H64/H$12)</f>
        <v>0</v>
      </c>
      <c r="K64" s="16"/>
      <c r="L64" s="35">
        <f>+D64-H64</f>
        <v>292.39373999999953</v>
      </c>
      <c r="M64" s="16"/>
      <c r="N64" s="34">
        <f>IF(H64=0,0,L64/H64)</f>
        <v>-1.7025110620549927E-2</v>
      </c>
      <c r="O64" s="26"/>
      <c r="P64" s="35">
        <f>SUM(P61:P63)</f>
        <v>-56436.33</v>
      </c>
      <c r="Q64" s="13"/>
      <c r="R64" s="34">
        <f>IF(P$12=0,0,P64/P$12)</f>
        <v>0</v>
      </c>
      <c r="S64" s="13"/>
      <c r="T64" s="35">
        <f>SUM(T61:T63)</f>
        <v>-54215.857155000005</v>
      </c>
      <c r="U64" s="13"/>
      <c r="V64" s="34">
        <f>IF(T$12=0,0,T64/T$12)</f>
        <v>0</v>
      </c>
      <c r="W64" s="16"/>
      <c r="X64" s="35">
        <f>+P64-T64</f>
        <v>-2220.4728449999966</v>
      </c>
      <c r="Y64" s="16"/>
      <c r="Z64" s="34">
        <f>IF(T64=0,0,X64/T64)</f>
        <v>4.0956151235454839E-2</v>
      </c>
    </row>
    <row r="65" spans="1:24" ht="15.75" thickTop="1" x14ac:dyDescent="0.25">
      <c r="A65" s="9"/>
      <c r="C65" s="9"/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  <row r="66" spans="1:24" x14ac:dyDescent="0.25">
      <c r="A66" s="9"/>
      <c r="B66" s="61">
        <v>44481.978956793981</v>
      </c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4" x14ac:dyDescent="0.25">
      <c r="A67" s="9"/>
      <c r="B67" s="56" t="s">
        <v>56</v>
      </c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4" x14ac:dyDescent="0.25">
      <c r="A68" s="9"/>
      <c r="B68" s="54"/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4" x14ac:dyDescent="0.25"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92D050"/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","433", " - ", "Hillside Dining Hall")</f>
        <v>Department 433 - Hillside Dining Hall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578043.58000000007</v>
      </c>
      <c r="E12" s="4"/>
      <c r="F12" s="12"/>
      <c r="G12" s="4"/>
      <c r="H12" s="4">
        <f>SUM(OSRRefH13x_0)</f>
        <v>453600</v>
      </c>
      <c r="I12" s="4"/>
      <c r="J12" s="12"/>
      <c r="K12" s="4"/>
      <c r="L12" s="4">
        <f t="shared" ref="L12:L16" si="0">+D12-H12</f>
        <v>124443.58000000007</v>
      </c>
      <c r="M12" s="4"/>
      <c r="N12" s="12">
        <f t="shared" ref="N12:N16" si="1">IF(H12=0,0,L12/H12)</f>
        <v>0.27434651675485028</v>
      </c>
      <c r="O12" s="10"/>
      <c r="P12" s="4">
        <f>SUM(OSRRefP13x_0)</f>
        <v>788486.19</v>
      </c>
      <c r="Q12" s="4"/>
      <c r="R12" s="12"/>
      <c r="S12" s="4"/>
      <c r="T12" s="4">
        <f>SUM(OSRRefT13x_0)</f>
        <v>567000</v>
      </c>
      <c r="U12" s="4"/>
      <c r="V12" s="12"/>
      <c r="W12" s="4"/>
      <c r="X12" s="4">
        <f t="shared" ref="X12:X16" si="2">+P12-T12</f>
        <v>221486.18999999994</v>
      </c>
      <c r="Y12" s="4"/>
      <c r="Z12" s="12">
        <f t="shared" ref="Z12:Z16" si="3">IF(T12=0,0,X12/T12)</f>
        <v>0.39062820105820095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--570.15</f>
        <v>570.15</v>
      </c>
      <c r="E13" s="2"/>
      <c r="F13" s="19"/>
      <c r="G13" s="2"/>
      <c r="H13" s="2"/>
      <c r="I13" s="2"/>
      <c r="J13" s="19"/>
      <c r="K13" s="2"/>
      <c r="L13" s="2">
        <f t="shared" si="0"/>
        <v>570.15</v>
      </c>
      <c r="M13" s="2"/>
      <c r="N13" s="19">
        <f t="shared" si="1"/>
        <v>0</v>
      </c>
      <c r="O13" s="11"/>
      <c r="P13" s="2">
        <f>--873.46</f>
        <v>873.46</v>
      </c>
      <c r="Q13" s="2"/>
      <c r="R13" s="19"/>
      <c r="S13" s="2"/>
      <c r="T13" s="2"/>
      <c r="U13" s="2"/>
      <c r="V13" s="19"/>
      <c r="W13" s="2"/>
      <c r="X13" s="2">
        <f t="shared" si="2"/>
        <v>873.46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453600</v>
      </c>
      <c r="I14" s="2"/>
      <c r="J14" s="19"/>
      <c r="K14" s="2"/>
      <c r="L14" s="2">
        <f t="shared" si="0"/>
        <v>-453600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567000</v>
      </c>
      <c r="U14" s="2"/>
      <c r="V14" s="19"/>
      <c r="W14" s="2"/>
      <c r="X14" s="2">
        <f t="shared" si="2"/>
        <v>-567000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--568839.88</f>
        <v>568839.88</v>
      </c>
      <c r="E15" s="2"/>
      <c r="F15" s="19"/>
      <c r="G15" s="2"/>
      <c r="H15" s="2"/>
      <c r="I15" s="2"/>
      <c r="J15" s="19"/>
      <c r="K15" s="2"/>
      <c r="L15" s="2">
        <f t="shared" si="0"/>
        <v>568839.88</v>
      </c>
      <c r="M15" s="2"/>
      <c r="N15" s="19">
        <f t="shared" si="1"/>
        <v>0</v>
      </c>
      <c r="O15" s="11"/>
      <c r="P15" s="2">
        <f>--764862.09</f>
        <v>764862.09</v>
      </c>
      <c r="Q15" s="2"/>
      <c r="R15" s="19"/>
      <c r="S15" s="2"/>
      <c r="T15" s="2"/>
      <c r="U15" s="2"/>
      <c r="V15" s="19"/>
      <c r="W15" s="2"/>
      <c r="X15" s="2">
        <f t="shared" si="2"/>
        <v>764862.09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--8633.55</f>
        <v>8633.5499999999993</v>
      </c>
      <c r="E16" s="2"/>
      <c r="F16" s="19"/>
      <c r="G16" s="2"/>
      <c r="H16" s="2"/>
      <c r="I16" s="2"/>
      <c r="J16" s="19"/>
      <c r="K16" s="2"/>
      <c r="L16" s="2">
        <f t="shared" si="0"/>
        <v>8633.5499999999993</v>
      </c>
      <c r="M16" s="2"/>
      <c r="N16" s="19">
        <f t="shared" si="1"/>
        <v>0</v>
      </c>
      <c r="O16" s="11"/>
      <c r="P16" s="2">
        <f>--22750.64</f>
        <v>22750.639999999999</v>
      </c>
      <c r="Q16" s="2"/>
      <c r="R16" s="19"/>
      <c r="S16" s="2"/>
      <c r="T16" s="2"/>
      <c r="U16" s="2"/>
      <c r="V16" s="19"/>
      <c r="W16" s="2"/>
      <c r="X16" s="2">
        <f t="shared" si="2"/>
        <v>22750.639999999999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257</v>
      </c>
      <c r="C18" s="10"/>
      <c r="D18" s="4">
        <f>SUM(OSRRefD16x_0)</f>
        <v>137436.65</v>
      </c>
      <c r="E18" s="4"/>
      <c r="F18" s="12">
        <f t="shared" ref="F18:F21" si="4">IF(D$12=0,0,D18/D$12)</f>
        <v>0.23776174453836157</v>
      </c>
      <c r="G18" s="4"/>
      <c r="H18" s="4">
        <f>SUM(OSRRefH16x_0)</f>
        <v>127008</v>
      </c>
      <c r="I18" s="4"/>
      <c r="J18" s="12">
        <f t="shared" ref="J18:J21" si="5">IF(H$12=0,0,H18/H$12)</f>
        <v>0.28000000000000003</v>
      </c>
      <c r="K18" s="4"/>
      <c r="L18" s="4">
        <f t="shared" ref="L18:L21" si="6">+D18-H18</f>
        <v>10428.649999999994</v>
      </c>
      <c r="M18" s="4"/>
      <c r="N18" s="12">
        <f t="shared" ref="N18:N21" si="7">IF(H18=0,0,L18/H18)</f>
        <v>8.2110182035777232E-2</v>
      </c>
      <c r="O18" s="10"/>
      <c r="P18" s="4">
        <f>SUM(OSRRefP16x_0)</f>
        <v>186868.88</v>
      </c>
      <c r="Q18" s="4"/>
      <c r="R18" s="12">
        <f t="shared" ref="R18:R21" si="8">IF(P$12=0,0,P18/P$12)</f>
        <v>0.23699702337208978</v>
      </c>
      <c r="S18" s="4"/>
      <c r="T18" s="4">
        <f>SUM(OSRRefT16x_0)</f>
        <v>183708</v>
      </c>
      <c r="U18" s="4"/>
      <c r="V18" s="12">
        <f t="shared" ref="V18:V21" si="9">IF(T$12=0,0,T18/T$12)</f>
        <v>0.32400000000000001</v>
      </c>
      <c r="W18" s="4"/>
      <c r="X18" s="4">
        <f t="shared" ref="X18:X21" si="10">+P18-T18</f>
        <v>3160.8800000000047</v>
      </c>
      <c r="Y18" s="4"/>
      <c r="Z18" s="12">
        <f t="shared" ref="Z18:Z21" si="11">IF(T18=0,0,X18/T18)</f>
        <v>1.720600082740003E-2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127008</v>
      </c>
      <c r="I19" s="2"/>
      <c r="J19" s="19">
        <f t="shared" si="5"/>
        <v>0.28000000000000003</v>
      </c>
      <c r="K19" s="2"/>
      <c r="L19" s="2">
        <f t="shared" si="6"/>
        <v>-127008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183708</v>
      </c>
      <c r="U19" s="2"/>
      <c r="V19" s="19">
        <f t="shared" si="9"/>
        <v>0.32400000000000001</v>
      </c>
      <c r="W19" s="2"/>
      <c r="X19" s="2">
        <f t="shared" si="10"/>
        <v>-183708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140691.65</v>
      </c>
      <c r="E20" s="2"/>
      <c r="F20" s="19">
        <f t="shared" si="4"/>
        <v>0.24339280785715148</v>
      </c>
      <c r="G20" s="2"/>
      <c r="H20" s="2"/>
      <c r="I20" s="2"/>
      <c r="J20" s="19">
        <f t="shared" si="5"/>
        <v>0</v>
      </c>
      <c r="K20" s="2"/>
      <c r="L20" s="2">
        <f t="shared" si="6"/>
        <v>140691.65</v>
      </c>
      <c r="M20" s="2"/>
      <c r="N20" s="19">
        <f t="shared" si="7"/>
        <v>0</v>
      </c>
      <c r="O20" s="11"/>
      <c r="P20" s="2">
        <v>211361.88</v>
      </c>
      <c r="Q20" s="2"/>
      <c r="R20" s="19">
        <f t="shared" si="8"/>
        <v>0.26806034484890601</v>
      </c>
      <c r="S20" s="2"/>
      <c r="T20" s="2"/>
      <c r="U20" s="2"/>
      <c r="V20" s="19">
        <f t="shared" si="9"/>
        <v>0</v>
      </c>
      <c r="W20" s="2"/>
      <c r="X20" s="2">
        <f t="shared" si="10"/>
        <v>211361.88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-3255</v>
      </c>
      <c r="E21" s="2"/>
      <c r="F21" s="19">
        <f t="shared" si="4"/>
        <v>-5.6310633187899081E-3</v>
      </c>
      <c r="G21" s="2"/>
      <c r="H21" s="2"/>
      <c r="I21" s="2"/>
      <c r="J21" s="19">
        <f t="shared" si="5"/>
        <v>0</v>
      </c>
      <c r="K21" s="2"/>
      <c r="L21" s="2">
        <f t="shared" si="6"/>
        <v>-3255</v>
      </c>
      <c r="M21" s="2"/>
      <c r="N21" s="19">
        <f t="shared" si="7"/>
        <v>0</v>
      </c>
      <c r="O21" s="11"/>
      <c r="P21" s="2">
        <v>-24493</v>
      </c>
      <c r="Q21" s="2"/>
      <c r="R21" s="19">
        <f t="shared" si="8"/>
        <v>-3.106332147681623E-2</v>
      </c>
      <c r="S21" s="2"/>
      <c r="T21" s="2"/>
      <c r="U21" s="2"/>
      <c r="V21" s="19">
        <f t="shared" si="9"/>
        <v>0</v>
      </c>
      <c r="W21" s="2"/>
      <c r="X21" s="2">
        <f t="shared" si="10"/>
        <v>-24493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108</v>
      </c>
      <c r="C23" s="25"/>
      <c r="D23" s="21">
        <f>D12-D18</f>
        <v>440606.93000000005</v>
      </c>
      <c r="E23" s="13"/>
      <c r="F23" s="20">
        <f>IF(D$12=0,0,D23/D$12)</f>
        <v>0.76223825546163837</v>
      </c>
      <c r="G23" s="13"/>
      <c r="H23" s="21">
        <f>H12-H18</f>
        <v>326592</v>
      </c>
      <c r="I23" s="13"/>
      <c r="J23" s="20">
        <f>IF(H$12=0,0,H23/H$12)</f>
        <v>0.72</v>
      </c>
      <c r="K23" s="16"/>
      <c r="L23" s="21">
        <f>+D23-H23</f>
        <v>114014.93000000005</v>
      </c>
      <c r="M23" s="16"/>
      <c r="N23" s="20">
        <f>IF(H23=0,0,L23/H23)</f>
        <v>0.34910509136782303</v>
      </c>
      <c r="O23" s="26"/>
      <c r="P23" s="21">
        <f>P12-P18</f>
        <v>601617.30999999994</v>
      </c>
      <c r="Q23" s="13"/>
      <c r="R23" s="20">
        <f>IF(P$12=0,0,P23/P$12)</f>
        <v>0.76300297662791028</v>
      </c>
      <c r="S23" s="13"/>
      <c r="T23" s="21">
        <f>T12-T18</f>
        <v>383292</v>
      </c>
      <c r="U23" s="13"/>
      <c r="V23" s="20">
        <f>IF(T$12=0,0,T23/T$12)</f>
        <v>0.67600000000000005</v>
      </c>
      <c r="W23" s="16"/>
      <c r="X23" s="21">
        <f>+P23-T23</f>
        <v>218325.30999999994</v>
      </c>
      <c r="Y23" s="16"/>
      <c r="Z23" s="20">
        <f>IF(T23=0,0,X23/T23)</f>
        <v>0.56960570531083332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295</v>
      </c>
      <c r="C25" s="10"/>
      <c r="D25" s="22">
        <f>SUM(OSRRefD22x_0)</f>
        <v>159024.91999999995</v>
      </c>
      <c r="E25" s="22"/>
      <c r="F25" s="32">
        <f t="shared" ref="F25:F36" si="12">IF(D$12=0,0,D25/D$12)</f>
        <v>0.27510887673901668</v>
      </c>
      <c r="G25" s="22"/>
      <c r="H25" s="22">
        <f>SUM(OSRRefH22x_0)</f>
        <v>173397.42189692304</v>
      </c>
      <c r="I25" s="22"/>
      <c r="J25" s="32">
        <f t="shared" ref="J25:J36" si="13">IF(H$12=0,0,H25/H$12)</f>
        <v>0.38226944862637358</v>
      </c>
      <c r="K25" s="4"/>
      <c r="L25" s="22">
        <f t="shared" ref="L25:L36" si="14">+D25-H25</f>
        <v>-14372.501896923088</v>
      </c>
      <c r="M25" s="4"/>
      <c r="N25" s="32">
        <f t="shared" ref="N25:N36" si="15">IF(H25=0,0,L25/H25)</f>
        <v>-8.2887633159084068E-2</v>
      </c>
      <c r="O25" s="10"/>
      <c r="P25" s="22">
        <f>SUM(OSRRefP22x_0)</f>
        <v>293536.08</v>
      </c>
      <c r="Q25" s="22"/>
      <c r="R25" s="32">
        <f t="shared" ref="R25:R36" si="16">IF(P$12=0,0,P25/P$12)</f>
        <v>0.37227802303043511</v>
      </c>
      <c r="S25" s="22"/>
      <c r="T25" s="22">
        <f>SUM(OSRRefT22x_0)</f>
        <v>423473.60616499989</v>
      </c>
      <c r="U25" s="22"/>
      <c r="V25" s="32">
        <f t="shared" ref="V25:V36" si="17">IF(T$12=0,0,T25/T$12)</f>
        <v>0.74686703027336843</v>
      </c>
      <c r="W25" s="4"/>
      <c r="X25" s="22">
        <f t="shared" ref="X25:X36" si="18">+P25-T25</f>
        <v>-129937.52616499987</v>
      </c>
      <c r="Y25" s="4"/>
      <c r="Z25" s="32">
        <f t="shared" ref="Z25:Z36" si="19">IF(T25=0,0,X25/T25)</f>
        <v>-0.30683736665838801</v>
      </c>
    </row>
    <row r="26" spans="1:26" s="28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27459.919999999998</v>
      </c>
      <c r="E26" s="1"/>
      <c r="F26" s="5">
        <f t="shared" si="12"/>
        <v>4.7504930337605333E-2</v>
      </c>
      <c r="G26" s="1"/>
      <c r="H26" s="1">
        <f>SUM(OSRRefH22_0x_0)</f>
        <v>33585.000358461526</v>
      </c>
      <c r="I26" s="1"/>
      <c r="J26" s="5">
        <f t="shared" si="13"/>
        <v>7.4041006081264391E-2</v>
      </c>
      <c r="K26" s="1"/>
      <c r="L26" s="1">
        <f t="shared" si="14"/>
        <v>-6125.0803584615278</v>
      </c>
      <c r="M26" s="1"/>
      <c r="N26" s="5">
        <f t="shared" si="15"/>
        <v>-0.18237547396417855</v>
      </c>
      <c r="O26" s="14"/>
      <c r="P26" s="1">
        <f>SUM(OSRRefP22_0x_0)</f>
        <v>63563.259999999995</v>
      </c>
      <c r="Q26" s="1"/>
      <c r="R26" s="5">
        <f t="shared" si="16"/>
        <v>8.0614297125482945E-2</v>
      </c>
      <c r="S26" s="1"/>
      <c r="T26" s="1">
        <f>SUM(OSRRefT22_0x_0)</f>
        <v>102155.73616500001</v>
      </c>
      <c r="U26" s="1"/>
      <c r="V26" s="5">
        <f t="shared" si="17"/>
        <v>0.18016884685185186</v>
      </c>
      <c r="W26" s="1"/>
      <c r="X26" s="1">
        <f t="shared" si="18"/>
        <v>-38592.476165000015</v>
      </c>
      <c r="Y26" s="1"/>
      <c r="Z26" s="5">
        <f t="shared" si="19"/>
        <v>-0.37778080422881177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7">
        <v>3825.82</v>
      </c>
      <c r="E27" s="2"/>
      <c r="F27" s="6">
        <f t="shared" si="12"/>
        <v>6.6185667177550865E-3</v>
      </c>
      <c r="G27" s="2"/>
      <c r="H27" s="7">
        <v>4776.19020461538</v>
      </c>
      <c r="I27" s="2"/>
      <c r="J27" s="6">
        <f t="shared" si="13"/>
        <v>1.0529519851444841E-2</v>
      </c>
      <c r="K27" s="2"/>
      <c r="L27" s="7">
        <f t="shared" si="14"/>
        <v>-950.37020461537986</v>
      </c>
      <c r="M27" s="2"/>
      <c r="N27" s="6">
        <f t="shared" si="15"/>
        <v>-0.19898081188161387</v>
      </c>
      <c r="O27" s="11"/>
      <c r="P27" s="7">
        <v>7521.95</v>
      </c>
      <c r="Q27" s="2"/>
      <c r="R27" s="6">
        <f t="shared" si="16"/>
        <v>9.5397358830089339E-3</v>
      </c>
      <c r="S27" s="2"/>
      <c r="T27" s="7">
        <v>13571.103165</v>
      </c>
      <c r="U27" s="2"/>
      <c r="V27" s="6">
        <f t="shared" si="17"/>
        <v>2.3934926216931218E-2</v>
      </c>
      <c r="W27" s="2"/>
      <c r="X27" s="7">
        <f t="shared" si="18"/>
        <v>-6049.1531650000006</v>
      </c>
      <c r="Y27" s="2"/>
      <c r="Z27" s="6">
        <f t="shared" si="19"/>
        <v>-0.44573776291089012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>
        <v>2052.29</v>
      </c>
      <c r="E28" s="2"/>
      <c r="F28" s="6">
        <f t="shared" si="12"/>
        <v>3.5504070471641595E-3</v>
      </c>
      <c r="G28" s="2"/>
      <c r="H28" s="7">
        <v>3028.56567692308</v>
      </c>
      <c r="I28" s="2"/>
      <c r="J28" s="6">
        <f t="shared" si="13"/>
        <v>6.6767320919820985E-3</v>
      </c>
      <c r="K28" s="2"/>
      <c r="L28" s="7">
        <f t="shared" si="14"/>
        <v>-976.27567692308003</v>
      </c>
      <c r="M28" s="2"/>
      <c r="N28" s="6">
        <f t="shared" si="15"/>
        <v>-0.32235578853780811</v>
      </c>
      <c r="O28" s="11"/>
      <c r="P28" s="7">
        <v>3755.11</v>
      </c>
      <c r="Q28" s="2"/>
      <c r="R28" s="6">
        <f t="shared" si="16"/>
        <v>4.7624296374803986E-3</v>
      </c>
      <c r="S28" s="2"/>
      <c r="T28" s="7">
        <v>7914.6759500000098</v>
      </c>
      <c r="U28" s="2"/>
      <c r="V28" s="6">
        <f t="shared" si="17"/>
        <v>1.395886410934746E-2</v>
      </c>
      <c r="W28" s="2"/>
      <c r="X28" s="7">
        <f t="shared" si="18"/>
        <v>-4159.5659500000093</v>
      </c>
      <c r="Y28" s="2"/>
      <c r="Z28" s="6">
        <f t="shared" si="19"/>
        <v>-0.5255510113462073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7">
        <v>15071.47</v>
      </c>
      <c r="E29" s="2"/>
      <c r="F29" s="6">
        <f t="shared" si="12"/>
        <v>2.6073241744160532E-2</v>
      </c>
      <c r="G29" s="2"/>
      <c r="H29" s="7">
        <v>20158.384615384599</v>
      </c>
      <c r="I29" s="2"/>
      <c r="J29" s="6">
        <f t="shared" si="13"/>
        <v>4.4440883190883157E-2</v>
      </c>
      <c r="K29" s="2"/>
      <c r="L29" s="7">
        <f t="shared" si="14"/>
        <v>-5086.9146153845995</v>
      </c>
      <c r="M29" s="2"/>
      <c r="N29" s="6">
        <f t="shared" si="15"/>
        <v>-0.25234733399730536</v>
      </c>
      <c r="O29" s="11"/>
      <c r="P29" s="7">
        <v>36249.230000000003</v>
      </c>
      <c r="Q29" s="2"/>
      <c r="R29" s="6">
        <f t="shared" si="16"/>
        <v>4.5973195801945504E-2</v>
      </c>
      <c r="S29" s="2"/>
      <c r="T29" s="7">
        <v>64032</v>
      </c>
      <c r="U29" s="2"/>
      <c r="V29" s="6">
        <f t="shared" si="17"/>
        <v>0.11293121693121694</v>
      </c>
      <c r="W29" s="2"/>
      <c r="X29" s="7">
        <f t="shared" si="18"/>
        <v>-27782.769999999997</v>
      </c>
      <c r="Y29" s="2"/>
      <c r="Z29" s="6">
        <f t="shared" si="19"/>
        <v>-0.43388883683158413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148.22999999999999</v>
      </c>
      <c r="E30" s="2"/>
      <c r="F30" s="6">
        <f t="shared" si="12"/>
        <v>2.5643395260959383E-4</v>
      </c>
      <c r="G30" s="2"/>
      <c r="H30" s="7">
        <v>167.809707692308</v>
      </c>
      <c r="I30" s="2"/>
      <c r="J30" s="6">
        <f t="shared" si="13"/>
        <v>3.6995085470085536E-4</v>
      </c>
      <c r="K30" s="2"/>
      <c r="L30" s="7">
        <f t="shared" si="14"/>
        <v>-19.579707692308006</v>
      </c>
      <c r="M30" s="2"/>
      <c r="N30" s="6">
        <f t="shared" si="15"/>
        <v>-0.11667803943862953</v>
      </c>
      <c r="O30" s="11"/>
      <c r="P30" s="7">
        <v>271.20999999999998</v>
      </c>
      <c r="Q30" s="2"/>
      <c r="R30" s="6">
        <f t="shared" si="16"/>
        <v>3.4396290441053888E-4</v>
      </c>
      <c r="S30" s="2"/>
      <c r="T30" s="7">
        <v>438.54405000000099</v>
      </c>
      <c r="U30" s="2"/>
      <c r="V30" s="6">
        <f t="shared" si="17"/>
        <v>7.7344629629629805E-4</v>
      </c>
      <c r="W30" s="2"/>
      <c r="X30" s="7">
        <f t="shared" si="18"/>
        <v>-167.33405000000101</v>
      </c>
      <c r="Y30" s="2"/>
      <c r="Z30" s="6">
        <f t="shared" si="19"/>
        <v>-0.38156725647058859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7">
        <v>1179.29</v>
      </c>
      <c r="E31" s="2"/>
      <c r="F31" s="6">
        <f t="shared" si="12"/>
        <v>2.0401402953043779E-3</v>
      </c>
      <c r="G31" s="2"/>
      <c r="H31" s="7">
        <v>1246.0870769230801</v>
      </c>
      <c r="I31" s="2"/>
      <c r="J31" s="6">
        <f t="shared" si="13"/>
        <v>2.7471055487722222E-3</v>
      </c>
      <c r="K31" s="2"/>
      <c r="L31" s="7">
        <f t="shared" si="14"/>
        <v>-66.797076923080112</v>
      </c>
      <c r="M31" s="2"/>
      <c r="N31" s="6">
        <f t="shared" si="15"/>
        <v>-5.3605464786634201E-2</v>
      </c>
      <c r="O31" s="11"/>
      <c r="P31" s="7">
        <v>3050.45</v>
      </c>
      <c r="Q31" s="2"/>
      <c r="R31" s="6">
        <f t="shared" si="16"/>
        <v>3.8687424569858351E-3</v>
      </c>
      <c r="S31" s="2"/>
      <c r="T31" s="7">
        <v>4049.7830000000099</v>
      </c>
      <c r="U31" s="2"/>
      <c r="V31" s="6">
        <f t="shared" si="17"/>
        <v>7.1424744268077777E-3</v>
      </c>
      <c r="W31" s="2"/>
      <c r="X31" s="7">
        <f t="shared" si="18"/>
        <v>-999.33300000001009</v>
      </c>
      <c r="Y31" s="2"/>
      <c r="Z31" s="6">
        <f t="shared" si="19"/>
        <v>-0.24676211046369834</v>
      </c>
    </row>
    <row r="32" spans="1:26" s="24" customFormat="1" hidden="1" outlineLevel="2" x14ac:dyDescent="0.25">
      <c r="A32" s="29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9"/>
      <c r="B33" s="11" t="str">
        <f>CONCATENATE("          ", "6117", " - ", "RETIREMENT STAFF HOURLY")</f>
        <v xml:space="preserve">          6117 - RETIREMENT STAFF HOURLY</v>
      </c>
      <c r="C33" s="11"/>
      <c r="D33" s="7">
        <v>277.60000000000002</v>
      </c>
      <c r="E33" s="2"/>
      <c r="F33" s="6">
        <f t="shared" si="12"/>
        <v>4.8024060746423305E-4</v>
      </c>
      <c r="G33" s="2"/>
      <c r="H33" s="7"/>
      <c r="I33" s="2"/>
      <c r="J33" s="6">
        <f t="shared" si="13"/>
        <v>0</v>
      </c>
      <c r="K33" s="2"/>
      <c r="L33" s="7">
        <f t="shared" si="14"/>
        <v>277.60000000000002</v>
      </c>
      <c r="M33" s="2"/>
      <c r="N33" s="6">
        <f t="shared" si="15"/>
        <v>0</v>
      </c>
      <c r="O33" s="11"/>
      <c r="P33" s="7">
        <v>1200.31</v>
      </c>
      <c r="Q33" s="2"/>
      <c r="R33" s="6">
        <f t="shared" si="16"/>
        <v>1.5222967950776665E-3</v>
      </c>
      <c r="S33" s="2"/>
      <c r="T33" s="7"/>
      <c r="U33" s="2"/>
      <c r="V33" s="6">
        <f t="shared" si="17"/>
        <v>0</v>
      </c>
      <c r="W33" s="2"/>
      <c r="X33" s="7">
        <f t="shared" si="18"/>
        <v>1200.31</v>
      </c>
      <c r="Y33" s="2"/>
      <c r="Z33" s="6">
        <f t="shared" si="19"/>
        <v>0</v>
      </c>
    </row>
    <row r="34" spans="1:26" s="24" customFormat="1" hidden="1" outlineLevel="2" x14ac:dyDescent="0.25">
      <c r="A34" s="29"/>
      <c r="B34" s="11" t="str">
        <f>CONCATENATE("          ", "6118", " - ", "VACATION")</f>
        <v xml:space="preserve">          6118 - VACATION</v>
      </c>
      <c r="C34" s="11"/>
      <c r="D34" s="7">
        <v>2232.8200000000002</v>
      </c>
      <c r="E34" s="2"/>
      <c r="F34" s="6">
        <f t="shared" si="12"/>
        <v>3.8627191396191961E-3</v>
      </c>
      <c r="G34" s="2"/>
      <c r="H34" s="7">
        <v>1810.68153846154</v>
      </c>
      <c r="I34" s="2"/>
      <c r="J34" s="6">
        <f t="shared" si="13"/>
        <v>3.9918023334690033E-3</v>
      </c>
      <c r="K34" s="2"/>
      <c r="L34" s="7">
        <f t="shared" si="14"/>
        <v>422.13846153846021</v>
      </c>
      <c r="M34" s="2"/>
      <c r="N34" s="6">
        <f t="shared" si="15"/>
        <v>0.23313788348288653</v>
      </c>
      <c r="O34" s="11"/>
      <c r="P34" s="7">
        <v>5706.37</v>
      </c>
      <c r="Q34" s="2"/>
      <c r="R34" s="6">
        <f t="shared" si="16"/>
        <v>7.2371210458359462E-3</v>
      </c>
      <c r="S34" s="2"/>
      <c r="T34" s="7">
        <v>5884.7150000000001</v>
      </c>
      <c r="U34" s="2"/>
      <c r="V34" s="6">
        <f t="shared" si="17"/>
        <v>1.03786860670194E-2</v>
      </c>
      <c r="W34" s="2"/>
      <c r="X34" s="7">
        <f t="shared" si="18"/>
        <v>-178.34500000000025</v>
      </c>
      <c r="Y34" s="2"/>
      <c r="Z34" s="6">
        <f t="shared" si="19"/>
        <v>-3.0306480432782258E-2</v>
      </c>
    </row>
    <row r="35" spans="1:26" s="24" customFormat="1" hidden="1" outlineLevel="2" x14ac:dyDescent="0.25">
      <c r="A35" s="29"/>
      <c r="B35" s="11" t="str">
        <f>CONCATENATE("          ", "6119", " - ", "SICK LEAVE")</f>
        <v xml:space="preserve">          6119 - SICK LEAVE</v>
      </c>
      <c r="C35" s="11"/>
      <c r="D35" s="7">
        <v>1593.46</v>
      </c>
      <c r="E35" s="2"/>
      <c r="F35" s="6">
        <f t="shared" si="12"/>
        <v>2.7566433658860112E-3</v>
      </c>
      <c r="G35" s="2"/>
      <c r="H35" s="7">
        <v>2397.2815384615401</v>
      </c>
      <c r="I35" s="2"/>
      <c r="J35" s="6">
        <f t="shared" si="13"/>
        <v>5.2850122100122137E-3</v>
      </c>
      <c r="K35" s="2"/>
      <c r="L35" s="7">
        <f t="shared" si="14"/>
        <v>-803.82153846154006</v>
      </c>
      <c r="M35" s="2"/>
      <c r="N35" s="6">
        <f t="shared" si="15"/>
        <v>-0.33530543891703019</v>
      </c>
      <c r="O35" s="11"/>
      <c r="P35" s="7">
        <v>3682.82</v>
      </c>
      <c r="Q35" s="2"/>
      <c r="R35" s="6">
        <f t="shared" si="16"/>
        <v>4.6707476259032522E-3</v>
      </c>
      <c r="S35" s="2"/>
      <c r="T35" s="7">
        <v>6264.915</v>
      </c>
      <c r="U35" s="2"/>
      <c r="V35" s="6">
        <f t="shared" si="17"/>
        <v>1.1049232804232804E-2</v>
      </c>
      <c r="W35" s="2"/>
      <c r="X35" s="7">
        <f t="shared" si="18"/>
        <v>-2582.0949999999998</v>
      </c>
      <c r="Y35" s="2"/>
      <c r="Z35" s="6">
        <f t="shared" si="19"/>
        <v>-0.41215164132314641</v>
      </c>
    </row>
    <row r="36" spans="1:26" s="24" customFormat="1" hidden="1" outlineLevel="2" x14ac:dyDescent="0.25">
      <c r="A36" s="29"/>
      <c r="B36" s="11" t="str">
        <f>CONCATENATE("          ", "6156", " - ", "EMPLOYEE MEALS")</f>
        <v xml:space="preserve">          6156 - EMPLOYEE MEALS</v>
      </c>
      <c r="C36" s="11"/>
      <c r="D36" s="7">
        <v>1078.94</v>
      </c>
      <c r="E36" s="2"/>
      <c r="F36" s="6">
        <f t="shared" si="12"/>
        <v>1.8665374676421454E-3</v>
      </c>
      <c r="G36" s="2"/>
      <c r="H36" s="7"/>
      <c r="I36" s="2"/>
      <c r="J36" s="6">
        <f t="shared" si="13"/>
        <v>0</v>
      </c>
      <c r="K36" s="2"/>
      <c r="L36" s="7">
        <f t="shared" si="14"/>
        <v>1078.94</v>
      </c>
      <c r="M36" s="2"/>
      <c r="N36" s="6">
        <f t="shared" si="15"/>
        <v>0</v>
      </c>
      <c r="O36" s="11"/>
      <c r="P36" s="7">
        <v>2125.81</v>
      </c>
      <c r="Q36" s="2"/>
      <c r="R36" s="6">
        <f t="shared" si="16"/>
        <v>2.6960649748348797E-3</v>
      </c>
      <c r="S36" s="2"/>
      <c r="T36" s="7"/>
      <c r="U36" s="2"/>
      <c r="V36" s="6">
        <f t="shared" si="17"/>
        <v>0</v>
      </c>
      <c r="W36" s="2"/>
      <c r="X36" s="7">
        <f t="shared" si="18"/>
        <v>2125.81</v>
      </c>
      <c r="Y36" s="2"/>
      <c r="Z36" s="6">
        <f t="shared" si="19"/>
        <v>0</v>
      </c>
    </row>
    <row r="37" spans="1:26" s="28" customFormat="1" outlineLevel="1" collapsed="1" x14ac:dyDescent="0.25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62148.71</v>
      </c>
      <c r="E37" s="1"/>
      <c r="F37" s="5">
        <f t="shared" ref="F37:F47" si="20">IF(D$12=0,0,D37/D$12)</f>
        <v>0.10751561326915869</v>
      </c>
      <c r="G37" s="1"/>
      <c r="H37" s="1">
        <f>SUM(OSRRefH22_1x_0)</f>
        <v>76838.421538461494</v>
      </c>
      <c r="I37" s="1"/>
      <c r="J37" s="5">
        <f t="shared" ref="J37:J47" si="21">IF(H$12=0,0,H37/H$12)</f>
        <v>0.16939687288020611</v>
      </c>
      <c r="K37" s="1"/>
      <c r="L37" s="1">
        <f t="shared" ref="L37:L47" si="22">+D37-H37</f>
        <v>-14689.711538461495</v>
      </c>
      <c r="M37" s="1"/>
      <c r="N37" s="5">
        <f t="shared" ref="N37:N47" si="23">IF(H37=0,0,L37/H37)</f>
        <v>-0.19117664371994622</v>
      </c>
      <c r="O37" s="14"/>
      <c r="P37" s="1">
        <f>SUM(OSRRefP22_1x_0)</f>
        <v>119037.66</v>
      </c>
      <c r="Q37" s="1"/>
      <c r="R37" s="5">
        <f t="shared" ref="R37:R47" si="24">IF(P$12=0,0,P37/P$12)</f>
        <v>0.15096987304241818</v>
      </c>
      <c r="S37" s="1"/>
      <c r="T37" s="1">
        <f>SUM(OSRRefT22_1x_0)</f>
        <v>198849.86999999991</v>
      </c>
      <c r="U37" s="1"/>
      <c r="V37" s="5">
        <f t="shared" ref="V37:V47" si="25">IF(T$12=0,0,T37/T$12)</f>
        <v>0.35070523809523796</v>
      </c>
      <c r="W37" s="1"/>
      <c r="X37" s="1">
        <f t="shared" ref="X37:X47" si="26">+P37-T37</f>
        <v>-79812.209999999905</v>
      </c>
      <c r="Y37" s="1"/>
      <c r="Z37" s="5">
        <f t="shared" ref="Z37:Z47" si="27">IF(T37=0,0,X37/T37)</f>
        <v>-0.40136918369622238</v>
      </c>
    </row>
    <row r="38" spans="1:26" s="24" customFormat="1" hidden="1" outlineLevel="2" x14ac:dyDescent="0.25">
      <c r="A38" s="29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"6002", " - ", "STAFF SALARIES")</f>
        <v xml:space="preserve">          6002 - STAFF SALARIES</v>
      </c>
      <c r="C39" s="11"/>
      <c r="D39" s="7">
        <v>14821.74</v>
      </c>
      <c r="E39" s="2"/>
      <c r="F39" s="6">
        <f t="shared" si="20"/>
        <v>2.5641215494513404E-2</v>
      </c>
      <c r="G39" s="2"/>
      <c r="H39" s="7">
        <v>13620.0215384615</v>
      </c>
      <c r="I39" s="2"/>
      <c r="J39" s="6">
        <f t="shared" si="21"/>
        <v>3.002650250983576E-2</v>
      </c>
      <c r="K39" s="2"/>
      <c r="L39" s="7">
        <f t="shared" si="22"/>
        <v>1201.7184615384995</v>
      </c>
      <c r="M39" s="2"/>
      <c r="N39" s="6">
        <f t="shared" si="23"/>
        <v>8.8231759263006568E-2</v>
      </c>
      <c r="O39" s="11"/>
      <c r="P39" s="7">
        <v>35848.629999999997</v>
      </c>
      <c r="Q39" s="2"/>
      <c r="R39" s="6">
        <f t="shared" si="24"/>
        <v>4.5465133637914441E-2</v>
      </c>
      <c r="S39" s="2"/>
      <c r="T39" s="7">
        <v>44265.069999999898</v>
      </c>
      <c r="U39" s="2"/>
      <c r="V39" s="6">
        <f t="shared" si="25"/>
        <v>7.8068906525573009E-2</v>
      </c>
      <c r="W39" s="2"/>
      <c r="X39" s="7">
        <f t="shared" si="26"/>
        <v>-8416.4399999999005</v>
      </c>
      <c r="Y39" s="2"/>
      <c r="Z39" s="6">
        <f t="shared" si="27"/>
        <v>-0.19013727980097897</v>
      </c>
    </row>
    <row r="40" spans="1:26" s="24" customFormat="1" hidden="1" outlineLevel="2" x14ac:dyDescent="0.25">
      <c r="A40" s="29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9"/>
      <c r="B41" s="11" t="str">
        <f>CONCATENATE("          ", "6004", " - ", "STAFF HOURLY")</f>
        <v xml:space="preserve">          6004 - STAFF HOURLY</v>
      </c>
      <c r="C41" s="11"/>
      <c r="D41" s="7">
        <v>24955.32</v>
      </c>
      <c r="E41" s="2"/>
      <c r="F41" s="6">
        <f t="shared" si="20"/>
        <v>4.3172039035534307E-2</v>
      </c>
      <c r="G41" s="2"/>
      <c r="H41" s="7">
        <v>45718.400000000001</v>
      </c>
      <c r="I41" s="2"/>
      <c r="J41" s="6">
        <f t="shared" si="21"/>
        <v>0.10079012345679013</v>
      </c>
      <c r="K41" s="2"/>
      <c r="L41" s="7">
        <f t="shared" si="22"/>
        <v>-20763.080000000002</v>
      </c>
      <c r="M41" s="2"/>
      <c r="N41" s="6">
        <f t="shared" si="23"/>
        <v>-0.4541515013648772</v>
      </c>
      <c r="O41" s="11"/>
      <c r="P41" s="7">
        <v>46785.19</v>
      </c>
      <c r="Q41" s="2"/>
      <c r="R41" s="6">
        <f t="shared" si="24"/>
        <v>5.9335459001507697E-2</v>
      </c>
      <c r="S41" s="2"/>
      <c r="T41" s="7">
        <v>123084.8</v>
      </c>
      <c r="U41" s="2"/>
      <c r="V41" s="6">
        <f t="shared" si="25"/>
        <v>0.21708077601410936</v>
      </c>
      <c r="W41" s="2"/>
      <c r="X41" s="7">
        <f t="shared" si="26"/>
        <v>-76299.61</v>
      </c>
      <c r="Y41" s="2"/>
      <c r="Z41" s="6">
        <f t="shared" si="27"/>
        <v>-0.61989465799188848</v>
      </c>
    </row>
    <row r="42" spans="1:26" s="24" customFormat="1" hidden="1" outlineLevel="2" x14ac:dyDescent="0.25">
      <c r="A42" s="29"/>
      <c r="B42" s="11" t="str">
        <f>CONCATENATE("          ", "6005", " - ", "TEMPORARY WAGES-HOURLY")</f>
        <v xml:space="preserve">          6005 - TEMPORARY WAGES-HOURLY</v>
      </c>
      <c r="C42" s="11"/>
      <c r="D42" s="7">
        <v>8671.5400000000009</v>
      </c>
      <c r="E42" s="2"/>
      <c r="F42" s="6">
        <f t="shared" si="20"/>
        <v>1.5001533275397678E-2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8671.5400000000009</v>
      </c>
      <c r="M42" s="2"/>
      <c r="N42" s="6">
        <f t="shared" si="23"/>
        <v>0</v>
      </c>
      <c r="O42" s="11"/>
      <c r="P42" s="7">
        <v>10094.58</v>
      </c>
      <c r="Q42" s="2"/>
      <c r="R42" s="6">
        <f t="shared" si="24"/>
        <v>1.2802481676946049E-2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10094.58</v>
      </c>
      <c r="Y42" s="2"/>
      <c r="Z42" s="6">
        <f t="shared" si="27"/>
        <v>0</v>
      </c>
    </row>
    <row r="43" spans="1:26" s="24" customFormat="1" hidden="1" outlineLevel="2" x14ac:dyDescent="0.25">
      <c r="A43" s="29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9"/>
      <c r="B44" s="11" t="str">
        <f>CONCATENATE("          ", "6007", " - ", "STUDENT HOURLY")</f>
        <v xml:space="preserve">          6007 - STUDENT HOURLY</v>
      </c>
      <c r="C44" s="11"/>
      <c r="D44" s="7">
        <v>13700.11</v>
      </c>
      <c r="E44" s="2"/>
      <c r="F44" s="6">
        <f t="shared" si="20"/>
        <v>2.3700825463713306E-2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13700.11</v>
      </c>
      <c r="M44" s="2"/>
      <c r="N44" s="6">
        <f t="shared" si="23"/>
        <v>0</v>
      </c>
      <c r="O44" s="11"/>
      <c r="P44" s="7">
        <v>26309.26</v>
      </c>
      <c r="Q44" s="2"/>
      <c r="R44" s="6">
        <f t="shared" si="24"/>
        <v>3.336679872604998E-2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26309.26</v>
      </c>
      <c r="Y44" s="2"/>
      <c r="Z44" s="6">
        <f t="shared" si="27"/>
        <v>0</v>
      </c>
    </row>
    <row r="45" spans="1:26" s="24" customFormat="1" hidden="1" outlineLevel="2" x14ac:dyDescent="0.25">
      <c r="A45" s="29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0"/>
        <v>0</v>
      </c>
      <c r="G45" s="2"/>
      <c r="H45" s="7">
        <v>17500</v>
      </c>
      <c r="I45" s="2"/>
      <c r="J45" s="6">
        <f t="shared" si="21"/>
        <v>3.8580246913580245E-2</v>
      </c>
      <c r="K45" s="2"/>
      <c r="L45" s="7">
        <f t="shared" si="22"/>
        <v>-17500</v>
      </c>
      <c r="M45" s="2"/>
      <c r="N45" s="6">
        <f t="shared" si="23"/>
        <v>-1</v>
      </c>
      <c r="O45" s="11"/>
      <c r="P45" s="7"/>
      <c r="Q45" s="2"/>
      <c r="R45" s="6">
        <f t="shared" si="24"/>
        <v>0</v>
      </c>
      <c r="S45" s="2"/>
      <c r="T45" s="7">
        <v>31500</v>
      </c>
      <c r="U45" s="2"/>
      <c r="V45" s="6">
        <f t="shared" si="25"/>
        <v>5.5555555555555552E-2</v>
      </c>
      <c r="W45" s="2"/>
      <c r="X45" s="7">
        <f t="shared" si="26"/>
        <v>-31500</v>
      </c>
      <c r="Y45" s="2"/>
      <c r="Z45" s="6">
        <f t="shared" si="27"/>
        <v>-1</v>
      </c>
    </row>
    <row r="46" spans="1:26" s="24" customFormat="1" hidden="1" outlineLevel="2" x14ac:dyDescent="0.25">
      <c r="A46" s="29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9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8" customFormat="1" outlineLevel="1" collapsed="1" x14ac:dyDescent="0.25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349.4</v>
      </c>
      <c r="E48" s="1"/>
      <c r="F48" s="5">
        <f t="shared" ref="F48:F69" si="28">IF(D$12=0,0,D48/D$12)</f>
        <v>6.0445269541787824E-4</v>
      </c>
      <c r="G48" s="1"/>
      <c r="H48" s="1">
        <f>SUM(OSRRefH22_2x_0)</f>
        <v>600</v>
      </c>
      <c r="I48" s="1"/>
      <c r="J48" s="5">
        <f t="shared" ref="J48:J69" si="29">IF(H$12=0,0,H48/H$12)</f>
        <v>1.3227513227513227E-3</v>
      </c>
      <c r="K48" s="1"/>
      <c r="L48" s="1">
        <f t="shared" ref="L48:L69" si="30">+D48-H48</f>
        <v>-250.60000000000002</v>
      </c>
      <c r="M48" s="1"/>
      <c r="N48" s="5">
        <f t="shared" ref="N48:N69" si="31">IF(H48=0,0,L48/H48)</f>
        <v>-0.41766666666666669</v>
      </c>
      <c r="O48" s="14"/>
      <c r="P48" s="1">
        <f>SUM(OSRRefP22_2x_0)</f>
        <v>1014.37</v>
      </c>
      <c r="Q48" s="1"/>
      <c r="R48" s="5">
        <f t="shared" ref="R48:R69" si="32">IF(P$12=0,0,P48/P$12)</f>
        <v>1.2864778265805773E-3</v>
      </c>
      <c r="S48" s="1"/>
      <c r="T48" s="1">
        <f>SUM(OSRRefT22_2x_0)</f>
        <v>1800</v>
      </c>
      <c r="U48" s="1"/>
      <c r="V48" s="5">
        <f t="shared" ref="V48:V69" si="33">IF(T$12=0,0,T48/T$12)</f>
        <v>3.1746031746031746E-3</v>
      </c>
      <c r="W48" s="1"/>
      <c r="X48" s="1">
        <f t="shared" ref="X48:X69" si="34">+P48-T48</f>
        <v>-785.63</v>
      </c>
      <c r="Y48" s="1"/>
      <c r="Z48" s="5">
        <f t="shared" ref="Z48:Z69" si="35">IF(T48=0,0,X48/T48)</f>
        <v>-0.43646111111111113</v>
      </c>
    </row>
    <row r="49" spans="1:26" s="24" customFormat="1" hidden="1" outlineLevel="2" x14ac:dyDescent="0.25">
      <c r="A49" s="29"/>
      <c r="B49" s="11" t="str">
        <f>CONCATENATE("          ", "6362", " - ", "ADVERTISING EXPENSE")</f>
        <v xml:space="preserve">          6362 - ADVERTISING EXPENSE</v>
      </c>
      <c r="C49" s="11"/>
      <c r="D49" s="7">
        <v>349.4</v>
      </c>
      <c r="E49" s="2"/>
      <c r="F49" s="6">
        <f t="shared" si="28"/>
        <v>6.0445269541787824E-4</v>
      </c>
      <c r="G49" s="2"/>
      <c r="H49" s="7">
        <v>600</v>
      </c>
      <c r="I49" s="2"/>
      <c r="J49" s="6">
        <f t="shared" si="29"/>
        <v>1.3227513227513227E-3</v>
      </c>
      <c r="K49" s="2"/>
      <c r="L49" s="7">
        <f t="shared" si="30"/>
        <v>-250.60000000000002</v>
      </c>
      <c r="M49" s="2"/>
      <c r="N49" s="6">
        <f t="shared" si="31"/>
        <v>-0.41766666666666669</v>
      </c>
      <c r="O49" s="11"/>
      <c r="P49" s="7">
        <v>1014.37</v>
      </c>
      <c r="Q49" s="2"/>
      <c r="R49" s="6">
        <f t="shared" si="32"/>
        <v>1.2864778265805773E-3</v>
      </c>
      <c r="S49" s="2"/>
      <c r="T49" s="7">
        <v>1800</v>
      </c>
      <c r="U49" s="2"/>
      <c r="V49" s="6">
        <f t="shared" si="33"/>
        <v>3.1746031746031746E-3</v>
      </c>
      <c r="W49" s="2"/>
      <c r="X49" s="7">
        <f t="shared" si="34"/>
        <v>-785.63</v>
      </c>
      <c r="Y49" s="2"/>
      <c r="Z49" s="6">
        <f t="shared" si="35"/>
        <v>-0.43646111111111113</v>
      </c>
    </row>
    <row r="50" spans="1:26" s="28" customFormat="1" outlineLevel="1" collapsed="1" x14ac:dyDescent="0.25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0.1</v>
      </c>
      <c r="E50" s="1"/>
      <c r="F50" s="5">
        <f t="shared" si="28"/>
        <v>1.7299733698279287E-7</v>
      </c>
      <c r="G50" s="1"/>
      <c r="H50" s="1">
        <f>SUM(OSRRefH22_3x_0)</f>
        <v>15</v>
      </c>
      <c r="I50" s="1"/>
      <c r="J50" s="5">
        <f t="shared" si="29"/>
        <v>3.3068783068783071E-5</v>
      </c>
      <c r="K50" s="1"/>
      <c r="L50" s="1">
        <f t="shared" si="30"/>
        <v>-14.9</v>
      </c>
      <c r="M50" s="1"/>
      <c r="N50" s="5">
        <f t="shared" si="31"/>
        <v>-0.9933333333333334</v>
      </c>
      <c r="O50" s="14"/>
      <c r="P50" s="1">
        <f>SUM(OSRRefP22_3x_0)</f>
        <v>0.1</v>
      </c>
      <c r="Q50" s="1"/>
      <c r="R50" s="5">
        <f t="shared" si="32"/>
        <v>1.2682530305318349E-7</v>
      </c>
      <c r="S50" s="1"/>
      <c r="T50" s="1">
        <f>SUM(OSRRefT22_3x_0)</f>
        <v>45</v>
      </c>
      <c r="U50" s="1"/>
      <c r="V50" s="5">
        <f t="shared" si="33"/>
        <v>7.9365079365079365E-5</v>
      </c>
      <c r="W50" s="1"/>
      <c r="X50" s="1">
        <f t="shared" si="34"/>
        <v>-44.9</v>
      </c>
      <c r="Y50" s="1"/>
      <c r="Z50" s="5">
        <f t="shared" si="35"/>
        <v>-0.99777777777777776</v>
      </c>
    </row>
    <row r="51" spans="1:26" s="24" customFormat="1" hidden="1" outlineLevel="2" x14ac:dyDescent="0.25">
      <c r="A51" s="29"/>
      <c r="B51" s="11" t="str">
        <f>CONCATENATE("          ", "6272", " - ", "CASH (OVER/SHORT)")</f>
        <v xml:space="preserve">          6272 - CASH (OVER/SHORT)</v>
      </c>
      <c r="C51" s="11"/>
      <c r="D51" s="7">
        <v>0.1</v>
      </c>
      <c r="E51" s="2"/>
      <c r="F51" s="6">
        <f t="shared" si="28"/>
        <v>1.7299733698279287E-7</v>
      </c>
      <c r="G51" s="2"/>
      <c r="H51" s="7">
        <v>15</v>
      </c>
      <c r="I51" s="2"/>
      <c r="J51" s="6">
        <f t="shared" si="29"/>
        <v>3.3068783068783071E-5</v>
      </c>
      <c r="K51" s="2"/>
      <c r="L51" s="7">
        <f t="shared" si="30"/>
        <v>-14.9</v>
      </c>
      <c r="M51" s="2"/>
      <c r="N51" s="6">
        <f t="shared" si="31"/>
        <v>-0.9933333333333334</v>
      </c>
      <c r="O51" s="11"/>
      <c r="P51" s="7">
        <v>0.1</v>
      </c>
      <c r="Q51" s="2"/>
      <c r="R51" s="6">
        <f t="shared" si="32"/>
        <v>1.2682530305318349E-7</v>
      </c>
      <c r="S51" s="2"/>
      <c r="T51" s="7">
        <v>45</v>
      </c>
      <c r="U51" s="2"/>
      <c r="V51" s="6">
        <f t="shared" si="33"/>
        <v>7.9365079365079365E-5</v>
      </c>
      <c r="W51" s="2"/>
      <c r="X51" s="7">
        <f t="shared" si="34"/>
        <v>-44.9</v>
      </c>
      <c r="Y51" s="2"/>
      <c r="Z51" s="6">
        <f t="shared" si="35"/>
        <v>-0.99777777777777776</v>
      </c>
    </row>
    <row r="52" spans="1:26" s="28" customFormat="1" outlineLevel="1" collapsed="1" x14ac:dyDescent="0.25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54.15</v>
      </c>
      <c r="E52" s="1"/>
      <c r="F52" s="5">
        <f t="shared" si="28"/>
        <v>9.3678057976182333E-5</v>
      </c>
      <c r="G52" s="1"/>
      <c r="H52" s="1">
        <f>SUM(OSRRefH22_4x_0)</f>
        <v>250</v>
      </c>
      <c r="I52" s="1"/>
      <c r="J52" s="5">
        <f t="shared" si="29"/>
        <v>5.5114638447971778E-4</v>
      </c>
      <c r="K52" s="1"/>
      <c r="L52" s="1">
        <f t="shared" si="30"/>
        <v>-195.85</v>
      </c>
      <c r="M52" s="1"/>
      <c r="N52" s="5">
        <f t="shared" si="31"/>
        <v>-0.78339999999999999</v>
      </c>
      <c r="O52" s="14"/>
      <c r="P52" s="1">
        <f>SUM(OSRRefP22_4x_0)</f>
        <v>94.7</v>
      </c>
      <c r="Q52" s="1"/>
      <c r="R52" s="5">
        <f t="shared" si="32"/>
        <v>1.2010356199136475E-4</v>
      </c>
      <c r="S52" s="1"/>
      <c r="T52" s="1">
        <f>SUM(OSRRefT22_4x_0)</f>
        <v>750</v>
      </c>
      <c r="U52" s="1"/>
      <c r="V52" s="5">
        <f t="shared" si="33"/>
        <v>1.3227513227513227E-3</v>
      </c>
      <c r="W52" s="1"/>
      <c r="X52" s="1">
        <f t="shared" si="34"/>
        <v>-655.29999999999995</v>
      </c>
      <c r="Y52" s="1"/>
      <c r="Z52" s="5">
        <f t="shared" si="35"/>
        <v>-0.87373333333333325</v>
      </c>
    </row>
    <row r="53" spans="1:26" s="24" customFormat="1" hidden="1" outlineLevel="2" x14ac:dyDescent="0.25">
      <c r="A53" s="29"/>
      <c r="B53" s="11" t="str">
        <f>CONCATENATE("          ", "6381", " - ", "BANK/CREDIT CARD FEES")</f>
        <v xml:space="preserve">          6381 - BANK/CREDIT CARD FEES</v>
      </c>
      <c r="C53" s="11"/>
      <c r="D53" s="7">
        <v>54.15</v>
      </c>
      <c r="E53" s="2"/>
      <c r="F53" s="6">
        <f t="shared" si="28"/>
        <v>9.3678057976182333E-5</v>
      </c>
      <c r="G53" s="2"/>
      <c r="H53" s="7">
        <v>250</v>
      </c>
      <c r="I53" s="2"/>
      <c r="J53" s="6">
        <f t="shared" si="29"/>
        <v>5.5114638447971778E-4</v>
      </c>
      <c r="K53" s="2"/>
      <c r="L53" s="7">
        <f t="shared" si="30"/>
        <v>-195.85</v>
      </c>
      <c r="M53" s="2"/>
      <c r="N53" s="6">
        <f t="shared" si="31"/>
        <v>-0.78339999999999999</v>
      </c>
      <c r="O53" s="11"/>
      <c r="P53" s="7">
        <v>94.7</v>
      </c>
      <c r="Q53" s="2"/>
      <c r="R53" s="6">
        <f t="shared" si="32"/>
        <v>1.2010356199136475E-4</v>
      </c>
      <c r="S53" s="2"/>
      <c r="T53" s="7">
        <v>750</v>
      </c>
      <c r="U53" s="2"/>
      <c r="V53" s="6">
        <f t="shared" si="33"/>
        <v>1.3227513227513227E-3</v>
      </c>
      <c r="W53" s="2"/>
      <c r="X53" s="7">
        <f t="shared" si="34"/>
        <v>-655.29999999999995</v>
      </c>
      <c r="Y53" s="2"/>
      <c r="Z53" s="6">
        <f t="shared" si="35"/>
        <v>-0.87373333333333325</v>
      </c>
    </row>
    <row r="54" spans="1:26" s="28" customFormat="1" outlineLevel="1" collapsed="1" x14ac:dyDescent="0.25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273.51</v>
      </c>
      <c r="E54" s="1"/>
      <c r="F54" s="5">
        <f t="shared" si="28"/>
        <v>4.7316501638163677E-4</v>
      </c>
      <c r="G54" s="1"/>
      <c r="H54" s="1">
        <f>SUM(OSRRefH22_5x_0)</f>
        <v>0</v>
      </c>
      <c r="I54" s="1"/>
      <c r="J54" s="5">
        <f t="shared" si="29"/>
        <v>0</v>
      </c>
      <c r="K54" s="1"/>
      <c r="L54" s="1">
        <f t="shared" si="30"/>
        <v>273.51</v>
      </c>
      <c r="M54" s="1"/>
      <c r="N54" s="5">
        <f t="shared" si="31"/>
        <v>0</v>
      </c>
      <c r="O54" s="14"/>
      <c r="P54" s="1">
        <f>SUM(OSRRefP22_5x_0)</f>
        <v>820.53</v>
      </c>
      <c r="Q54" s="1"/>
      <c r="R54" s="5">
        <f t="shared" si="32"/>
        <v>1.0406396591422864E-3</v>
      </c>
      <c r="S54" s="1"/>
      <c r="T54" s="1">
        <f>SUM(OSRRefT22_5x_0)</f>
        <v>0</v>
      </c>
      <c r="U54" s="1"/>
      <c r="V54" s="5">
        <f t="shared" si="33"/>
        <v>0</v>
      </c>
      <c r="W54" s="1"/>
      <c r="X54" s="1">
        <f t="shared" si="34"/>
        <v>820.53</v>
      </c>
      <c r="Y54" s="1"/>
      <c r="Z54" s="5">
        <f t="shared" si="35"/>
        <v>0</v>
      </c>
    </row>
    <row r="55" spans="1:26" s="24" customFormat="1" hidden="1" outlineLevel="2" x14ac:dyDescent="0.25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273.51</v>
      </c>
      <c r="E55" s="2"/>
      <c r="F55" s="6">
        <f t="shared" si="28"/>
        <v>4.7316501638163677E-4</v>
      </c>
      <c r="G55" s="2"/>
      <c r="H55" s="7"/>
      <c r="I55" s="2"/>
      <c r="J55" s="6">
        <f t="shared" si="29"/>
        <v>0</v>
      </c>
      <c r="K55" s="2"/>
      <c r="L55" s="7">
        <f t="shared" si="30"/>
        <v>273.51</v>
      </c>
      <c r="M55" s="2"/>
      <c r="N55" s="6">
        <f t="shared" si="31"/>
        <v>0</v>
      </c>
      <c r="O55" s="11"/>
      <c r="P55" s="7">
        <v>820.53</v>
      </c>
      <c r="Q55" s="2"/>
      <c r="R55" s="6">
        <f t="shared" si="32"/>
        <v>1.0406396591422864E-3</v>
      </c>
      <c r="S55" s="2"/>
      <c r="T55" s="7"/>
      <c r="U55" s="2"/>
      <c r="V55" s="6">
        <f t="shared" si="33"/>
        <v>0</v>
      </c>
      <c r="W55" s="2"/>
      <c r="X55" s="7">
        <f t="shared" si="34"/>
        <v>820.53</v>
      </c>
      <c r="Y55" s="2"/>
      <c r="Z55" s="6">
        <f t="shared" si="35"/>
        <v>0</v>
      </c>
    </row>
    <row r="56" spans="1:26" s="28" customFormat="1" outlineLevel="1" collapsed="1" x14ac:dyDescent="0.25">
      <c r="A56" s="27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4853.7700000000004</v>
      </c>
      <c r="E56" s="1"/>
      <c r="F56" s="5">
        <f t="shared" si="28"/>
        <v>8.3968928432697054E-3</v>
      </c>
      <c r="G56" s="1"/>
      <c r="H56" s="1">
        <f>SUM(OSRRefH22_6x_0)</f>
        <v>6000</v>
      </c>
      <c r="I56" s="1"/>
      <c r="J56" s="5">
        <f t="shared" si="29"/>
        <v>1.3227513227513227E-2</v>
      </c>
      <c r="K56" s="1"/>
      <c r="L56" s="1">
        <f t="shared" si="30"/>
        <v>-1146.2299999999996</v>
      </c>
      <c r="M56" s="1"/>
      <c r="N56" s="5">
        <f t="shared" si="31"/>
        <v>-0.19103833333333325</v>
      </c>
      <c r="O56" s="14"/>
      <c r="P56" s="1">
        <f>SUM(OSRRefP22_6x_0)</f>
        <v>6994.18</v>
      </c>
      <c r="Q56" s="1"/>
      <c r="R56" s="5">
        <f t="shared" si="32"/>
        <v>8.8703899810851482E-3</v>
      </c>
      <c r="S56" s="1"/>
      <c r="T56" s="1">
        <f>SUM(OSRRefT22_6x_0)</f>
        <v>12000</v>
      </c>
      <c r="U56" s="1"/>
      <c r="V56" s="5">
        <f t="shared" si="33"/>
        <v>2.1164021164021163E-2</v>
      </c>
      <c r="W56" s="1"/>
      <c r="X56" s="1">
        <f t="shared" si="34"/>
        <v>-5005.82</v>
      </c>
      <c r="Y56" s="1"/>
      <c r="Z56" s="5">
        <f t="shared" si="35"/>
        <v>-0.41715166666666664</v>
      </c>
    </row>
    <row r="57" spans="1:26" s="24" customFormat="1" hidden="1" outlineLevel="2" x14ac:dyDescent="0.25">
      <c r="A57" s="29"/>
      <c r="B57" s="11" t="str">
        <f>CONCATENATE("          ", "6399", " - ", "DONATION-ON CAMPUS")</f>
        <v xml:space="preserve">          6399 - DONATION-ON CAMPUS</v>
      </c>
      <c r="C57" s="11"/>
      <c r="D57" s="7">
        <v>4853.7700000000004</v>
      </c>
      <c r="E57" s="2"/>
      <c r="F57" s="6">
        <f t="shared" si="28"/>
        <v>8.3968928432697054E-3</v>
      </c>
      <c r="G57" s="2"/>
      <c r="H57" s="7">
        <v>6000</v>
      </c>
      <c r="I57" s="2"/>
      <c r="J57" s="6">
        <f t="shared" si="29"/>
        <v>1.3227513227513227E-2</v>
      </c>
      <c r="K57" s="2"/>
      <c r="L57" s="7">
        <f t="shared" si="30"/>
        <v>-1146.2299999999996</v>
      </c>
      <c r="M57" s="2"/>
      <c r="N57" s="6">
        <f t="shared" si="31"/>
        <v>-0.19103833333333325</v>
      </c>
      <c r="O57" s="11"/>
      <c r="P57" s="7">
        <v>6994.18</v>
      </c>
      <c r="Q57" s="2"/>
      <c r="R57" s="6">
        <f t="shared" si="32"/>
        <v>8.8703899810851482E-3</v>
      </c>
      <c r="S57" s="2"/>
      <c r="T57" s="7">
        <v>12000</v>
      </c>
      <c r="U57" s="2"/>
      <c r="V57" s="6">
        <f t="shared" si="33"/>
        <v>2.1164021164021163E-2</v>
      </c>
      <c r="W57" s="2"/>
      <c r="X57" s="7">
        <f t="shared" si="34"/>
        <v>-5005.82</v>
      </c>
      <c r="Y57" s="2"/>
      <c r="Z57" s="6">
        <f t="shared" si="35"/>
        <v>-0.41715166666666664</v>
      </c>
    </row>
    <row r="58" spans="1:26" s="28" customFormat="1" outlineLevel="1" collapsed="1" x14ac:dyDescent="0.25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200</v>
      </c>
      <c r="I58" s="1"/>
      <c r="J58" s="5">
        <f t="shared" si="29"/>
        <v>4.4091710758377423E-4</v>
      </c>
      <c r="K58" s="1"/>
      <c r="L58" s="1">
        <f t="shared" si="30"/>
        <v>-200</v>
      </c>
      <c r="M58" s="1"/>
      <c r="N58" s="5">
        <f t="shared" si="31"/>
        <v>-1</v>
      </c>
      <c r="O58" s="14"/>
      <c r="P58" s="1">
        <f>SUM(OSRRefP22_7x_0)</f>
        <v>0</v>
      </c>
      <c r="Q58" s="1"/>
      <c r="R58" s="5">
        <f t="shared" si="32"/>
        <v>0</v>
      </c>
      <c r="S58" s="1"/>
      <c r="T58" s="1">
        <f>SUM(OSRRefT22_7x_0)</f>
        <v>200</v>
      </c>
      <c r="U58" s="1"/>
      <c r="V58" s="5">
        <f t="shared" si="33"/>
        <v>3.5273368606701942E-4</v>
      </c>
      <c r="W58" s="1"/>
      <c r="X58" s="1">
        <f t="shared" si="34"/>
        <v>-200</v>
      </c>
      <c r="Y58" s="1"/>
      <c r="Z58" s="5">
        <f t="shared" si="35"/>
        <v>-1</v>
      </c>
    </row>
    <row r="59" spans="1:26" s="24" customFormat="1" hidden="1" outlineLevel="2" x14ac:dyDescent="0.25">
      <c r="A59" s="29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8"/>
        <v>0</v>
      </c>
      <c r="G59" s="2"/>
      <c r="H59" s="7">
        <v>200</v>
      </c>
      <c r="I59" s="2"/>
      <c r="J59" s="6">
        <f t="shared" si="29"/>
        <v>4.4091710758377423E-4</v>
      </c>
      <c r="K59" s="2"/>
      <c r="L59" s="7">
        <f t="shared" si="30"/>
        <v>-200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200</v>
      </c>
      <c r="U59" s="2"/>
      <c r="V59" s="6">
        <f t="shared" si="33"/>
        <v>3.5273368606701942E-4</v>
      </c>
      <c r="W59" s="2"/>
      <c r="X59" s="7">
        <f t="shared" si="34"/>
        <v>-200</v>
      </c>
      <c r="Y59" s="2"/>
      <c r="Z59" s="6">
        <f t="shared" si="35"/>
        <v>-1</v>
      </c>
    </row>
    <row r="60" spans="1:26" s="28" customFormat="1" outlineLevel="1" collapsed="1" x14ac:dyDescent="0.25">
      <c r="A60" s="27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184.94</v>
      </c>
      <c r="E60" s="1"/>
      <c r="F60" s="5">
        <f t="shared" si="28"/>
        <v>3.1994127501597713E-4</v>
      </c>
      <c r="G60" s="1"/>
      <c r="H60" s="1">
        <f>SUM(OSRRefH22_8x_0)</f>
        <v>500</v>
      </c>
      <c r="I60" s="1"/>
      <c r="J60" s="5">
        <f t="shared" si="29"/>
        <v>1.1022927689594356E-3</v>
      </c>
      <c r="K60" s="1"/>
      <c r="L60" s="1">
        <f t="shared" si="30"/>
        <v>-315.06</v>
      </c>
      <c r="M60" s="1"/>
      <c r="N60" s="5">
        <f t="shared" si="31"/>
        <v>-0.63012000000000001</v>
      </c>
      <c r="O60" s="14"/>
      <c r="P60" s="1">
        <f>SUM(OSRRefP22_8x_0)</f>
        <v>4382.6099999999997</v>
      </c>
      <c r="Q60" s="1"/>
      <c r="R60" s="5">
        <f t="shared" si="32"/>
        <v>5.558258414139124E-3</v>
      </c>
      <c r="S60" s="1"/>
      <c r="T60" s="1">
        <f>SUM(OSRRefT22_8x_0)</f>
        <v>1500</v>
      </c>
      <c r="U60" s="1"/>
      <c r="V60" s="5">
        <f t="shared" si="33"/>
        <v>2.6455026455026454E-3</v>
      </c>
      <c r="W60" s="1"/>
      <c r="X60" s="1">
        <f t="shared" si="34"/>
        <v>2882.6099999999997</v>
      </c>
      <c r="Y60" s="1"/>
      <c r="Z60" s="5">
        <f t="shared" si="35"/>
        <v>1.9217399999999998</v>
      </c>
    </row>
    <row r="61" spans="1:26" s="24" customFormat="1" hidden="1" outlineLevel="2" x14ac:dyDescent="0.25">
      <c r="A61" s="29"/>
      <c r="B61" s="11" t="str">
        <f>CONCATENATE("          ", "6351", " - ", "EQUIPMENT RENTAL")</f>
        <v xml:space="preserve">          6351 - EQUIPMENT RENTAL</v>
      </c>
      <c r="C61" s="11"/>
      <c r="D61" s="7">
        <v>184.94</v>
      </c>
      <c r="E61" s="2"/>
      <c r="F61" s="6">
        <f t="shared" si="28"/>
        <v>3.1994127501597713E-4</v>
      </c>
      <c r="G61" s="2"/>
      <c r="H61" s="7">
        <v>500</v>
      </c>
      <c r="I61" s="2"/>
      <c r="J61" s="6">
        <f t="shared" si="29"/>
        <v>1.1022927689594356E-3</v>
      </c>
      <c r="K61" s="2"/>
      <c r="L61" s="7">
        <f t="shared" si="30"/>
        <v>-315.06</v>
      </c>
      <c r="M61" s="2"/>
      <c r="N61" s="6">
        <f t="shared" si="31"/>
        <v>-0.63012000000000001</v>
      </c>
      <c r="O61" s="11"/>
      <c r="P61" s="7">
        <v>4382.6099999999997</v>
      </c>
      <c r="Q61" s="2"/>
      <c r="R61" s="6">
        <f t="shared" si="32"/>
        <v>5.558258414139124E-3</v>
      </c>
      <c r="S61" s="2"/>
      <c r="T61" s="7">
        <v>1500</v>
      </c>
      <c r="U61" s="2"/>
      <c r="V61" s="6">
        <f t="shared" si="33"/>
        <v>2.6455026455026454E-3</v>
      </c>
      <c r="W61" s="2"/>
      <c r="X61" s="7">
        <f t="shared" si="34"/>
        <v>2882.6099999999997</v>
      </c>
      <c r="Y61" s="2"/>
      <c r="Z61" s="6">
        <f t="shared" si="35"/>
        <v>1.9217399999999998</v>
      </c>
    </row>
    <row r="62" spans="1:26" s="28" customFormat="1" outlineLevel="1" collapsed="1" x14ac:dyDescent="0.25">
      <c r="A62" s="27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5273</v>
      </c>
      <c r="E62" s="1"/>
      <c r="F62" s="5">
        <f t="shared" si="28"/>
        <v>9.1221495791026681E-3</v>
      </c>
      <c r="G62" s="1"/>
      <c r="H62" s="1">
        <f>SUM(OSRRefH22_9x_0)</f>
        <v>150</v>
      </c>
      <c r="I62" s="1"/>
      <c r="J62" s="5">
        <f t="shared" si="29"/>
        <v>3.3068783068783067E-4</v>
      </c>
      <c r="K62" s="1"/>
      <c r="L62" s="1">
        <f t="shared" si="30"/>
        <v>5123</v>
      </c>
      <c r="M62" s="1"/>
      <c r="N62" s="5">
        <f t="shared" si="31"/>
        <v>34.153333333333336</v>
      </c>
      <c r="O62" s="14"/>
      <c r="P62" s="1">
        <f>SUM(OSRRefP22_9x_0)</f>
        <v>7677.62</v>
      </c>
      <c r="Q62" s="1"/>
      <c r="R62" s="5">
        <f t="shared" si="32"/>
        <v>9.7371648322718257E-3</v>
      </c>
      <c r="S62" s="1"/>
      <c r="T62" s="1">
        <f>SUM(OSRRefT22_9x_0)</f>
        <v>2100</v>
      </c>
      <c r="U62" s="1"/>
      <c r="V62" s="5">
        <f t="shared" si="33"/>
        <v>3.7037037037037038E-3</v>
      </c>
      <c r="W62" s="1"/>
      <c r="X62" s="1">
        <f t="shared" si="34"/>
        <v>5577.62</v>
      </c>
      <c r="Y62" s="1"/>
      <c r="Z62" s="5">
        <f t="shared" si="35"/>
        <v>2.6560095238095238</v>
      </c>
    </row>
    <row r="63" spans="1:26" s="24" customFormat="1" hidden="1" outlineLevel="2" x14ac:dyDescent="0.25">
      <c r="A63" s="29"/>
      <c r="B63" s="11" t="str">
        <f>CONCATENATE("          ", "6279", " - ", "GENERAL EXPENSE")</f>
        <v xml:space="preserve">          6279 - GENERAL EXPENSE</v>
      </c>
      <c r="C63" s="11"/>
      <c r="D63" s="7">
        <v>5273</v>
      </c>
      <c r="E63" s="2"/>
      <c r="F63" s="6">
        <f t="shared" si="28"/>
        <v>9.1221495791026681E-3</v>
      </c>
      <c r="G63" s="2"/>
      <c r="H63" s="7">
        <v>150</v>
      </c>
      <c r="I63" s="2"/>
      <c r="J63" s="6">
        <f t="shared" si="29"/>
        <v>3.3068783068783067E-4</v>
      </c>
      <c r="K63" s="2"/>
      <c r="L63" s="7">
        <f t="shared" si="30"/>
        <v>5123</v>
      </c>
      <c r="M63" s="2"/>
      <c r="N63" s="6">
        <f t="shared" si="31"/>
        <v>34.153333333333336</v>
      </c>
      <c r="O63" s="11"/>
      <c r="P63" s="7">
        <v>7677.62</v>
      </c>
      <c r="Q63" s="2"/>
      <c r="R63" s="6">
        <f t="shared" si="32"/>
        <v>9.7371648322718257E-3</v>
      </c>
      <c r="S63" s="2"/>
      <c r="T63" s="7">
        <v>2100</v>
      </c>
      <c r="U63" s="2"/>
      <c r="V63" s="6">
        <f t="shared" si="33"/>
        <v>3.7037037037037038E-3</v>
      </c>
      <c r="W63" s="2"/>
      <c r="X63" s="7">
        <f t="shared" si="34"/>
        <v>5577.62</v>
      </c>
      <c r="Y63" s="2"/>
      <c r="Z63" s="6">
        <f t="shared" si="35"/>
        <v>2.6560095238095238</v>
      </c>
    </row>
    <row r="64" spans="1:26" s="28" customFormat="1" outlineLevel="1" collapsed="1" x14ac:dyDescent="0.25">
      <c r="A64" s="27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42285.78</v>
      </c>
      <c r="E64" s="1"/>
      <c r="F64" s="5">
        <f t="shared" si="28"/>
        <v>7.3153273322402429E-2</v>
      </c>
      <c r="G64" s="1"/>
      <c r="H64" s="1">
        <f>SUM(OSRRefH22_10x_0)</f>
        <v>36288</v>
      </c>
      <c r="I64" s="1"/>
      <c r="J64" s="5">
        <f t="shared" si="29"/>
        <v>0.08</v>
      </c>
      <c r="K64" s="1"/>
      <c r="L64" s="1">
        <f t="shared" si="30"/>
        <v>5997.7799999999988</v>
      </c>
      <c r="M64" s="1"/>
      <c r="N64" s="5">
        <f t="shared" si="31"/>
        <v>0.16528273809523805</v>
      </c>
      <c r="O64" s="14"/>
      <c r="P64" s="1">
        <f>SUM(OSRRefP22_10x_0)</f>
        <v>58949.95</v>
      </c>
      <c r="Q64" s="1"/>
      <c r="R64" s="5">
        <f t="shared" si="32"/>
        <v>7.4763452737200128E-2</v>
      </c>
      <c r="S64" s="1"/>
      <c r="T64" s="1">
        <f>SUM(OSRRefT22_10x_0)</f>
        <v>45360</v>
      </c>
      <c r="U64" s="1"/>
      <c r="V64" s="5">
        <f t="shared" si="33"/>
        <v>0.08</v>
      </c>
      <c r="W64" s="1"/>
      <c r="X64" s="1">
        <f t="shared" si="34"/>
        <v>13589.949999999997</v>
      </c>
      <c r="Y64" s="1"/>
      <c r="Z64" s="5">
        <f t="shared" si="35"/>
        <v>0.29960207231040559</v>
      </c>
    </row>
    <row r="65" spans="1:26" s="24" customFormat="1" hidden="1" outlineLevel="2" x14ac:dyDescent="0.25">
      <c r="A65" s="29"/>
      <c r="B65" s="11" t="str">
        <f>CONCATENATE("          ", "6387", " - ", "COMMISSION DUE HOUSING")</f>
        <v xml:space="preserve">          6387 - COMMISSION DUE HOUSING</v>
      </c>
      <c r="C65" s="11"/>
      <c r="D65" s="7">
        <v>42285.78</v>
      </c>
      <c r="E65" s="2"/>
      <c r="F65" s="6">
        <f t="shared" si="28"/>
        <v>7.3153273322402429E-2</v>
      </c>
      <c r="G65" s="2"/>
      <c r="H65" s="7">
        <v>36288</v>
      </c>
      <c r="I65" s="2"/>
      <c r="J65" s="6">
        <f t="shared" si="29"/>
        <v>0.08</v>
      </c>
      <c r="K65" s="2"/>
      <c r="L65" s="7">
        <f t="shared" si="30"/>
        <v>5997.7799999999988</v>
      </c>
      <c r="M65" s="2"/>
      <c r="N65" s="6">
        <f t="shared" si="31"/>
        <v>0.16528273809523805</v>
      </c>
      <c r="O65" s="11"/>
      <c r="P65" s="7">
        <v>58949.95</v>
      </c>
      <c r="Q65" s="2"/>
      <c r="R65" s="6">
        <f t="shared" si="32"/>
        <v>7.4763452737200128E-2</v>
      </c>
      <c r="S65" s="2"/>
      <c r="T65" s="7">
        <v>45360</v>
      </c>
      <c r="U65" s="2"/>
      <c r="V65" s="6">
        <f t="shared" si="33"/>
        <v>0.08</v>
      </c>
      <c r="W65" s="2"/>
      <c r="X65" s="7">
        <f t="shared" si="34"/>
        <v>13589.949999999997</v>
      </c>
      <c r="Y65" s="2"/>
      <c r="Z65" s="6">
        <f t="shared" si="35"/>
        <v>0.29960207231040559</v>
      </c>
    </row>
    <row r="66" spans="1:26" s="28" customFormat="1" outlineLevel="1" collapsed="1" x14ac:dyDescent="0.25">
      <c r="A66" s="27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111.83</v>
      </c>
      <c r="E66" s="1"/>
      <c r="F66" s="5">
        <f t="shared" si="28"/>
        <v>1.9346292194785726E-4</v>
      </c>
      <c r="G66" s="1"/>
      <c r="H66" s="1">
        <f>SUM(OSRRefH22_11x_0)</f>
        <v>250</v>
      </c>
      <c r="I66" s="1"/>
      <c r="J66" s="5">
        <f t="shared" si="29"/>
        <v>5.5114638447971778E-4</v>
      </c>
      <c r="K66" s="1"/>
      <c r="L66" s="1">
        <f t="shared" si="30"/>
        <v>-138.17000000000002</v>
      </c>
      <c r="M66" s="1"/>
      <c r="N66" s="5">
        <f t="shared" si="31"/>
        <v>-0.55268000000000006</v>
      </c>
      <c r="O66" s="14"/>
      <c r="P66" s="1">
        <f>SUM(OSRRefP22_11x_0)</f>
        <v>111.83</v>
      </c>
      <c r="Q66" s="1"/>
      <c r="R66" s="5">
        <f t="shared" si="32"/>
        <v>1.4182873640437507E-4</v>
      </c>
      <c r="S66" s="1"/>
      <c r="T66" s="1">
        <f>SUM(OSRRefT22_11x_0)</f>
        <v>2550</v>
      </c>
      <c r="U66" s="1"/>
      <c r="V66" s="5">
        <f t="shared" si="33"/>
        <v>4.4973544973544973E-3</v>
      </c>
      <c r="W66" s="1"/>
      <c r="X66" s="1">
        <f t="shared" si="34"/>
        <v>-2438.17</v>
      </c>
      <c r="Y66" s="1"/>
      <c r="Z66" s="5">
        <f t="shared" si="35"/>
        <v>-0.95614509803921577</v>
      </c>
    </row>
    <row r="67" spans="1:26" s="24" customFormat="1" hidden="1" outlineLevel="2" x14ac:dyDescent="0.25">
      <c r="A67" s="29"/>
      <c r="B67" s="11" t="str">
        <f>CONCATENATE("          ", "6371", " - ", "COMPUTER SOFTWARE MAINTENANCE")</f>
        <v xml:space="preserve">          6371 - COMPUTER SOFTWARE MAINTENANCE</v>
      </c>
      <c r="C67" s="11"/>
      <c r="D67" s="7"/>
      <c r="E67" s="2"/>
      <c r="F67" s="6">
        <f t="shared" si="28"/>
        <v>0</v>
      </c>
      <c r="G67" s="2"/>
      <c r="H67" s="7">
        <v>0</v>
      </c>
      <c r="I67" s="2"/>
      <c r="J67" s="6">
        <f t="shared" si="29"/>
        <v>0</v>
      </c>
      <c r="K67" s="2"/>
      <c r="L67" s="7">
        <f t="shared" si="30"/>
        <v>0</v>
      </c>
      <c r="M67" s="2"/>
      <c r="N67" s="6">
        <f t="shared" si="31"/>
        <v>0</v>
      </c>
      <c r="O67" s="11"/>
      <c r="P67" s="7"/>
      <c r="Q67" s="2"/>
      <c r="R67" s="6">
        <f t="shared" si="32"/>
        <v>0</v>
      </c>
      <c r="S67" s="2"/>
      <c r="T67" s="7">
        <v>0</v>
      </c>
      <c r="U67" s="2"/>
      <c r="V67" s="6">
        <f t="shared" si="33"/>
        <v>0</v>
      </c>
      <c r="W67" s="2"/>
      <c r="X67" s="7">
        <f t="shared" si="34"/>
        <v>0</v>
      </c>
      <c r="Y67" s="2"/>
      <c r="Z67" s="6">
        <f t="shared" si="35"/>
        <v>0</v>
      </c>
    </row>
    <row r="68" spans="1:26" s="24" customFormat="1" hidden="1" outlineLevel="2" x14ac:dyDescent="0.25">
      <c r="A68" s="29"/>
      <c r="B68" s="11" t="str">
        <f>CONCATENATE("          ", "6373", " - ", "MAINTENANCE CONTRACTS")</f>
        <v xml:space="preserve">          6373 - MAINTENANCE CONTRACTS</v>
      </c>
      <c r="C68" s="11"/>
      <c r="D68" s="7">
        <v>83.83</v>
      </c>
      <c r="E68" s="2"/>
      <c r="F68" s="6">
        <f t="shared" si="28"/>
        <v>1.4502366759267527E-4</v>
      </c>
      <c r="G68" s="2"/>
      <c r="H68" s="7"/>
      <c r="I68" s="2"/>
      <c r="J68" s="6">
        <f t="shared" si="29"/>
        <v>0</v>
      </c>
      <c r="K68" s="2"/>
      <c r="L68" s="7">
        <f t="shared" si="30"/>
        <v>83.83</v>
      </c>
      <c r="M68" s="2"/>
      <c r="N68" s="6">
        <f t="shared" si="31"/>
        <v>0</v>
      </c>
      <c r="O68" s="11"/>
      <c r="P68" s="7">
        <v>83.83</v>
      </c>
      <c r="Q68" s="2"/>
      <c r="R68" s="6">
        <f t="shared" si="32"/>
        <v>1.0631765154948371E-4</v>
      </c>
      <c r="S68" s="2"/>
      <c r="T68" s="7">
        <v>1800</v>
      </c>
      <c r="U68" s="2"/>
      <c r="V68" s="6">
        <f t="shared" si="33"/>
        <v>3.1746031746031746E-3</v>
      </c>
      <c r="W68" s="2"/>
      <c r="X68" s="7">
        <f t="shared" si="34"/>
        <v>-1716.17</v>
      </c>
      <c r="Y68" s="2"/>
      <c r="Z68" s="6">
        <f t="shared" si="35"/>
        <v>-0.95342777777777776</v>
      </c>
    </row>
    <row r="69" spans="1:26" s="24" customFormat="1" hidden="1" outlineLevel="2" x14ac:dyDescent="0.25">
      <c r="A69" s="29"/>
      <c r="B69" s="11" t="str">
        <f>CONCATENATE("          ", "6375", " - ", "OUTSIDE REPAIRS &amp; MAINTENANCE")</f>
        <v xml:space="preserve">          6375 - OUTSIDE REPAIRS &amp; MAINTENANCE</v>
      </c>
      <c r="C69" s="11"/>
      <c r="D69" s="7">
        <v>28</v>
      </c>
      <c r="E69" s="2"/>
      <c r="F69" s="6">
        <f t="shared" si="28"/>
        <v>4.8439254355182006E-5</v>
      </c>
      <c r="G69" s="2"/>
      <c r="H69" s="7">
        <v>250</v>
      </c>
      <c r="I69" s="2"/>
      <c r="J69" s="6">
        <f t="shared" si="29"/>
        <v>5.5114638447971778E-4</v>
      </c>
      <c r="K69" s="2"/>
      <c r="L69" s="7">
        <f t="shared" si="30"/>
        <v>-222</v>
      </c>
      <c r="M69" s="2"/>
      <c r="N69" s="6">
        <f t="shared" si="31"/>
        <v>-0.88800000000000001</v>
      </c>
      <c r="O69" s="11"/>
      <c r="P69" s="7">
        <v>28</v>
      </c>
      <c r="Q69" s="2"/>
      <c r="R69" s="6">
        <f t="shared" si="32"/>
        <v>3.5511084854891376E-5</v>
      </c>
      <c r="S69" s="2"/>
      <c r="T69" s="7">
        <v>750</v>
      </c>
      <c r="U69" s="2"/>
      <c r="V69" s="6">
        <f t="shared" si="33"/>
        <v>1.3227513227513227E-3</v>
      </c>
      <c r="W69" s="2"/>
      <c r="X69" s="7">
        <f t="shared" si="34"/>
        <v>-722</v>
      </c>
      <c r="Y69" s="2"/>
      <c r="Z69" s="6">
        <f t="shared" si="35"/>
        <v>-0.96266666666666667</v>
      </c>
    </row>
    <row r="70" spans="1:26" s="28" customFormat="1" outlineLevel="1" collapsed="1" x14ac:dyDescent="0.25">
      <c r="A70" s="27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SUM(OSRRefD22_12x_0)</f>
        <v>5138.04</v>
      </c>
      <c r="E70" s="1"/>
      <c r="F70" s="5">
        <f t="shared" ref="F70:F74" si="36">IF(D$12=0,0,D70/D$12)</f>
        <v>8.8886723731106902E-3</v>
      </c>
      <c r="G70" s="1"/>
      <c r="H70" s="1">
        <f>SUM(OSRRefH22_12x_0)</f>
        <v>7150</v>
      </c>
      <c r="I70" s="1"/>
      <c r="J70" s="5">
        <f t="shared" ref="J70:J74" si="37">IF(H$12=0,0,H70/H$12)</f>
        <v>1.5762786596119929E-2</v>
      </c>
      <c r="K70" s="1"/>
      <c r="L70" s="1">
        <f t="shared" ref="L70:L74" si="38">+D70-H70</f>
        <v>-2011.96</v>
      </c>
      <c r="M70" s="1"/>
      <c r="N70" s="5">
        <f t="shared" ref="N70:N74" si="39">IF(H70=0,0,L70/H70)</f>
        <v>-0.28139300699300701</v>
      </c>
      <c r="O70" s="14"/>
      <c r="P70" s="1">
        <f>SUM(OSRRefP22_12x_0)</f>
        <v>15554.79</v>
      </c>
      <c r="Q70" s="1"/>
      <c r="R70" s="5">
        <f t="shared" ref="R70:R74" si="40">IF(P$12=0,0,P70/P$12)</f>
        <v>1.9727409556786278E-2</v>
      </c>
      <c r="S70" s="1"/>
      <c r="T70" s="1">
        <f>SUM(OSRRefT22_12x_0)</f>
        <v>21450</v>
      </c>
      <c r="U70" s="1"/>
      <c r="V70" s="5">
        <f t="shared" ref="V70:V74" si="41">IF(T$12=0,0,T70/T$12)</f>
        <v>3.7830687830687833E-2</v>
      </c>
      <c r="W70" s="1"/>
      <c r="X70" s="1">
        <f t="shared" ref="X70:X74" si="42">+P70-T70</f>
        <v>-5895.2099999999991</v>
      </c>
      <c r="Y70" s="1"/>
      <c r="Z70" s="5">
        <f t="shared" ref="Z70:Z74" si="43">IF(T70=0,0,X70/T70)</f>
        <v>-0.27483496503496502</v>
      </c>
    </row>
    <row r="71" spans="1:26" s="24" customFormat="1" hidden="1" outlineLevel="2" x14ac:dyDescent="0.25">
      <c r="A71" s="29"/>
      <c r="B71" s="11" t="str">
        <f>CONCATENATE("          ", "6282", " - ", "JANITORIAL/EXTERMINATOR EXPENS")</f>
        <v xml:space="preserve">          6282 - JANITORIAL/EXTERMINATOR EXPENS</v>
      </c>
      <c r="C71" s="11"/>
      <c r="D71" s="7">
        <v>417.32</v>
      </c>
      <c r="E71" s="2"/>
      <c r="F71" s="6">
        <f t="shared" si="36"/>
        <v>7.2195248669659122E-4</v>
      </c>
      <c r="G71" s="2"/>
      <c r="H71" s="7">
        <v>450</v>
      </c>
      <c r="I71" s="2"/>
      <c r="J71" s="6">
        <f t="shared" si="37"/>
        <v>9.9206349206349201E-4</v>
      </c>
      <c r="K71" s="2"/>
      <c r="L71" s="7">
        <f t="shared" si="38"/>
        <v>-32.680000000000007</v>
      </c>
      <c r="M71" s="2"/>
      <c r="N71" s="6">
        <f t="shared" si="39"/>
        <v>-7.2622222222222241E-2</v>
      </c>
      <c r="O71" s="11"/>
      <c r="P71" s="7">
        <v>834.84</v>
      </c>
      <c r="Q71" s="2"/>
      <c r="R71" s="6">
        <f t="shared" si="40"/>
        <v>1.0587883600091969E-3</v>
      </c>
      <c r="S71" s="2"/>
      <c r="T71" s="7">
        <v>1350</v>
      </c>
      <c r="U71" s="2"/>
      <c r="V71" s="6">
        <f t="shared" si="41"/>
        <v>2.3809523809523812E-3</v>
      </c>
      <c r="W71" s="2"/>
      <c r="X71" s="7">
        <f t="shared" si="42"/>
        <v>-515.16</v>
      </c>
      <c r="Y71" s="2"/>
      <c r="Z71" s="6">
        <f t="shared" si="43"/>
        <v>-0.38159999999999999</v>
      </c>
    </row>
    <row r="72" spans="1:26" s="24" customFormat="1" hidden="1" outlineLevel="2" x14ac:dyDescent="0.25">
      <c r="A72" s="29"/>
      <c r="B72" s="11" t="str">
        <f>CONCATENATE("          ", "6284", " - ", "TRASH REMOVAL EXPENSE")</f>
        <v xml:space="preserve">          6284 - TRASH REMOVAL EXPENSE</v>
      </c>
      <c r="C72" s="11"/>
      <c r="D72" s="7"/>
      <c r="E72" s="2"/>
      <c r="F72" s="6">
        <f t="shared" si="36"/>
        <v>0</v>
      </c>
      <c r="G72" s="2"/>
      <c r="H72" s="7">
        <v>500</v>
      </c>
      <c r="I72" s="2"/>
      <c r="J72" s="6">
        <f t="shared" si="37"/>
        <v>1.1022927689594356E-3</v>
      </c>
      <c r="K72" s="2"/>
      <c r="L72" s="7">
        <f t="shared" si="38"/>
        <v>-500</v>
      </c>
      <c r="M72" s="2"/>
      <c r="N72" s="6">
        <f t="shared" si="39"/>
        <v>-1</v>
      </c>
      <c r="O72" s="11"/>
      <c r="P72" s="7"/>
      <c r="Q72" s="2"/>
      <c r="R72" s="6">
        <f t="shared" si="40"/>
        <v>0</v>
      </c>
      <c r="S72" s="2"/>
      <c r="T72" s="7">
        <v>1500</v>
      </c>
      <c r="U72" s="2"/>
      <c r="V72" s="6">
        <f t="shared" si="41"/>
        <v>2.6455026455026454E-3</v>
      </c>
      <c r="W72" s="2"/>
      <c r="X72" s="7">
        <f t="shared" si="42"/>
        <v>-1500</v>
      </c>
      <c r="Y72" s="2"/>
      <c r="Z72" s="6">
        <f t="shared" si="43"/>
        <v>-1</v>
      </c>
    </row>
    <row r="73" spans="1:26" s="24" customFormat="1" hidden="1" outlineLevel="2" x14ac:dyDescent="0.25">
      <c r="A73" s="29"/>
      <c r="B73" s="11" t="str">
        <f>CONCATENATE("          ", "6285", " - ", "JANITORIAL SERVICES")</f>
        <v xml:space="preserve">          6285 - JANITORIAL SERVICES</v>
      </c>
      <c r="C73" s="11"/>
      <c r="D73" s="7">
        <v>4720.72</v>
      </c>
      <c r="E73" s="2"/>
      <c r="F73" s="6">
        <f t="shared" si="36"/>
        <v>8.1667198864140995E-3</v>
      </c>
      <c r="G73" s="2"/>
      <c r="H73" s="7">
        <v>4700</v>
      </c>
      <c r="I73" s="2"/>
      <c r="J73" s="6">
        <f t="shared" si="37"/>
        <v>1.0361552028218694E-2</v>
      </c>
      <c r="K73" s="2"/>
      <c r="L73" s="7">
        <f t="shared" si="38"/>
        <v>20.720000000000255</v>
      </c>
      <c r="M73" s="2"/>
      <c r="N73" s="6">
        <f t="shared" si="39"/>
        <v>4.4085106382979267E-3</v>
      </c>
      <c r="O73" s="11"/>
      <c r="P73" s="7">
        <v>13578.44</v>
      </c>
      <c r="Q73" s="2"/>
      <c r="R73" s="6">
        <f t="shared" si="40"/>
        <v>1.7220897679894688E-2</v>
      </c>
      <c r="S73" s="2"/>
      <c r="T73" s="7">
        <v>14100</v>
      </c>
      <c r="U73" s="2"/>
      <c r="V73" s="6">
        <f t="shared" si="41"/>
        <v>2.4867724867724868E-2</v>
      </c>
      <c r="W73" s="2"/>
      <c r="X73" s="7">
        <f t="shared" si="42"/>
        <v>-521.55999999999949</v>
      </c>
      <c r="Y73" s="2"/>
      <c r="Z73" s="6">
        <f t="shared" si="43"/>
        <v>-3.6990070921985779E-2</v>
      </c>
    </row>
    <row r="74" spans="1:26" s="24" customFormat="1" hidden="1" outlineLevel="2" x14ac:dyDescent="0.25">
      <c r="A74" s="29"/>
      <c r="B74" s="11" t="str">
        <f>CONCATENATE("          ", "6286", " - ", "LAUNDRY EXPENSE")</f>
        <v xml:space="preserve">          6286 - LAUNDRY EXPENSE</v>
      </c>
      <c r="C74" s="11"/>
      <c r="D74" s="7"/>
      <c r="E74" s="2"/>
      <c r="F74" s="6">
        <f t="shared" si="36"/>
        <v>0</v>
      </c>
      <c r="G74" s="2"/>
      <c r="H74" s="7">
        <v>1500</v>
      </c>
      <c r="I74" s="2"/>
      <c r="J74" s="6">
        <f t="shared" si="37"/>
        <v>3.3068783068783067E-3</v>
      </c>
      <c r="K74" s="2"/>
      <c r="L74" s="7">
        <f t="shared" si="38"/>
        <v>-1500</v>
      </c>
      <c r="M74" s="2"/>
      <c r="N74" s="6">
        <f t="shared" si="39"/>
        <v>-1</v>
      </c>
      <c r="O74" s="11"/>
      <c r="P74" s="7">
        <v>1141.51</v>
      </c>
      <c r="Q74" s="2"/>
      <c r="R74" s="6">
        <f t="shared" si="40"/>
        <v>1.4477235168823947E-3</v>
      </c>
      <c r="S74" s="2"/>
      <c r="T74" s="7">
        <v>4500</v>
      </c>
      <c r="U74" s="2"/>
      <c r="V74" s="6">
        <f t="shared" si="41"/>
        <v>7.9365079365079361E-3</v>
      </c>
      <c r="W74" s="2"/>
      <c r="X74" s="7">
        <f t="shared" si="42"/>
        <v>-3358.49</v>
      </c>
      <c r="Y74" s="2"/>
      <c r="Z74" s="6">
        <f t="shared" si="43"/>
        <v>-0.74633111111111106</v>
      </c>
    </row>
    <row r="75" spans="1:26" s="28" customFormat="1" outlineLevel="1" collapsed="1" x14ac:dyDescent="0.25">
      <c r="A75" s="27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SUM(OSRRefD22_13x_0)</f>
        <v>10652.77</v>
      </c>
      <c r="E75" s="1"/>
      <c r="F75" s="5">
        <f t="shared" ref="F75:F83" si="44">IF(D$12=0,0,D75/D$12)</f>
        <v>1.8429008414901863E-2</v>
      </c>
      <c r="G75" s="1"/>
      <c r="H75" s="1">
        <f>SUM(OSRRefH22_13x_0)</f>
        <v>11396</v>
      </c>
      <c r="I75" s="1"/>
      <c r="J75" s="5">
        <f t="shared" ref="J75:J83" si="45">IF(H$12=0,0,H75/H$12)</f>
        <v>2.5123456790123455E-2</v>
      </c>
      <c r="K75" s="1"/>
      <c r="L75" s="1">
        <f t="shared" ref="L75:L83" si="46">+D75-H75</f>
        <v>-743.22999999999956</v>
      </c>
      <c r="M75" s="1"/>
      <c r="N75" s="5">
        <f t="shared" ref="N75:N83" si="47">IF(H75=0,0,L75/H75)</f>
        <v>-6.5218497718497678E-2</v>
      </c>
      <c r="O75" s="14"/>
      <c r="P75" s="1">
        <f>SUM(OSRRefP22_13x_0)</f>
        <v>14767.48</v>
      </c>
      <c r="Q75" s="1"/>
      <c r="R75" s="5">
        <f t="shared" ref="R75:R83" si="48">IF(P$12=0,0,P75/P$12)</f>
        <v>1.8728901263318259E-2</v>
      </c>
      <c r="S75" s="1"/>
      <c r="T75" s="1">
        <f>SUM(OSRRefT22_13x_0)</f>
        <v>34188</v>
      </c>
      <c r="U75" s="1"/>
      <c r="V75" s="5">
        <f t="shared" ref="V75:V83" si="49">IF(T$12=0,0,T75/T$12)</f>
        <v>6.0296296296296299E-2</v>
      </c>
      <c r="W75" s="1"/>
      <c r="X75" s="1">
        <f t="shared" ref="X75:X83" si="50">+P75-T75</f>
        <v>-19420.52</v>
      </c>
      <c r="Y75" s="1"/>
      <c r="Z75" s="5">
        <f t="shared" ref="Z75:Z83" si="51">IF(T75=0,0,X75/T75)</f>
        <v>-0.56805077805077808</v>
      </c>
    </row>
    <row r="76" spans="1:26" s="24" customFormat="1" hidden="1" outlineLevel="2" x14ac:dyDescent="0.25">
      <c r="A76" s="29"/>
      <c r="B76" s="11" t="str">
        <f>CONCATENATE("          ", "6234", " - ", "EXPENDABLE SUPPLIES &amp; EQUIPMEN")</f>
        <v xml:space="preserve">          6234 - EXPENDABLE SUPPLIES &amp; EQUIPMEN</v>
      </c>
      <c r="C76" s="11"/>
      <c r="D76" s="7">
        <v>21.98</v>
      </c>
      <c r="E76" s="2"/>
      <c r="F76" s="6">
        <f t="shared" si="44"/>
        <v>3.8024814668817873E-5</v>
      </c>
      <c r="G76" s="2"/>
      <c r="H76" s="7"/>
      <c r="I76" s="2"/>
      <c r="J76" s="6">
        <f t="shared" si="45"/>
        <v>0</v>
      </c>
      <c r="K76" s="2"/>
      <c r="L76" s="7">
        <f t="shared" si="46"/>
        <v>21.98</v>
      </c>
      <c r="M76" s="2"/>
      <c r="N76" s="6">
        <f t="shared" si="47"/>
        <v>0</v>
      </c>
      <c r="O76" s="11"/>
      <c r="P76" s="7">
        <v>21.98</v>
      </c>
      <c r="Q76" s="2"/>
      <c r="R76" s="6">
        <f t="shared" si="48"/>
        <v>2.787620161108973E-5</v>
      </c>
      <c r="S76" s="2"/>
      <c r="T76" s="7"/>
      <c r="U76" s="2"/>
      <c r="V76" s="6">
        <f t="shared" si="49"/>
        <v>0</v>
      </c>
      <c r="W76" s="2"/>
      <c r="X76" s="7">
        <f t="shared" si="50"/>
        <v>21.98</v>
      </c>
      <c r="Y76" s="2"/>
      <c r="Z76" s="6">
        <f t="shared" si="51"/>
        <v>0</v>
      </c>
    </row>
    <row r="77" spans="1:26" s="24" customFormat="1" hidden="1" outlineLevel="2" x14ac:dyDescent="0.25">
      <c r="A77" s="29"/>
      <c r="B77" s="11" t="str">
        <f>CONCATENATE("          ", "6237", " - ", "JANITORIAL SUPPLIES")</f>
        <v xml:space="preserve">          6237 - JANITORIAL SUPPLIES</v>
      </c>
      <c r="C77" s="11"/>
      <c r="D77" s="7">
        <v>4548.71</v>
      </c>
      <c r="E77" s="2"/>
      <c r="F77" s="6">
        <f t="shared" si="44"/>
        <v>7.8691471670699967E-3</v>
      </c>
      <c r="G77" s="2"/>
      <c r="H77" s="7">
        <v>4000</v>
      </c>
      <c r="I77" s="2"/>
      <c r="J77" s="6">
        <f t="shared" si="45"/>
        <v>8.8183421516754845E-3</v>
      </c>
      <c r="K77" s="2"/>
      <c r="L77" s="7">
        <f t="shared" si="46"/>
        <v>548.71</v>
      </c>
      <c r="M77" s="2"/>
      <c r="N77" s="6">
        <f t="shared" si="47"/>
        <v>0.13717750000000001</v>
      </c>
      <c r="O77" s="11"/>
      <c r="P77" s="7">
        <v>5452.04</v>
      </c>
      <c r="Q77" s="2"/>
      <c r="R77" s="6">
        <f t="shared" si="48"/>
        <v>6.914566252580784E-3</v>
      </c>
      <c r="S77" s="2"/>
      <c r="T77" s="7">
        <v>12000</v>
      </c>
      <c r="U77" s="2"/>
      <c r="V77" s="6">
        <f t="shared" si="49"/>
        <v>2.1164021164021163E-2</v>
      </c>
      <c r="W77" s="2"/>
      <c r="X77" s="7">
        <f t="shared" si="50"/>
        <v>-6547.96</v>
      </c>
      <c r="Y77" s="2"/>
      <c r="Z77" s="6">
        <f t="shared" si="51"/>
        <v>-0.54566333333333339</v>
      </c>
    </row>
    <row r="78" spans="1:26" s="24" customFormat="1" hidden="1" outlineLevel="2" x14ac:dyDescent="0.25">
      <c r="A78" s="29"/>
      <c r="B78" s="11" t="str">
        <f>CONCATENATE("          ", "6239", " - ", "KITCHEN SUPPLIES")</f>
        <v xml:space="preserve">          6239 - KITCHEN SUPPLIES</v>
      </c>
      <c r="C78" s="11"/>
      <c r="D78" s="7">
        <v>2699.53</v>
      </c>
      <c r="E78" s="2"/>
      <c r="F78" s="6">
        <f t="shared" si="44"/>
        <v>4.6701150110515883E-3</v>
      </c>
      <c r="G78" s="2"/>
      <c r="H78" s="7">
        <v>1500</v>
      </c>
      <c r="I78" s="2"/>
      <c r="J78" s="6">
        <f t="shared" si="45"/>
        <v>3.3068783068783067E-3</v>
      </c>
      <c r="K78" s="2"/>
      <c r="L78" s="7">
        <f t="shared" si="46"/>
        <v>1199.5300000000002</v>
      </c>
      <c r="M78" s="2"/>
      <c r="N78" s="6">
        <f t="shared" si="47"/>
        <v>0.79968666666666677</v>
      </c>
      <c r="O78" s="11"/>
      <c r="P78" s="7">
        <v>3100.09</v>
      </c>
      <c r="Q78" s="2"/>
      <c r="R78" s="6">
        <f t="shared" si="48"/>
        <v>3.9316985374214354E-3</v>
      </c>
      <c r="S78" s="2"/>
      <c r="T78" s="7">
        <v>4500</v>
      </c>
      <c r="U78" s="2"/>
      <c r="V78" s="6">
        <f t="shared" si="49"/>
        <v>7.9365079365079361E-3</v>
      </c>
      <c r="W78" s="2"/>
      <c r="X78" s="7">
        <f t="shared" si="50"/>
        <v>-1399.9099999999999</v>
      </c>
      <c r="Y78" s="2"/>
      <c r="Z78" s="6">
        <f t="shared" si="51"/>
        <v>-0.3110911111111111</v>
      </c>
    </row>
    <row r="79" spans="1:26" s="24" customFormat="1" hidden="1" outlineLevel="2" x14ac:dyDescent="0.25">
      <c r="A79" s="29"/>
      <c r="B79" s="11" t="str">
        <f>CONCATENATE("          ", "6241", " - ", "OFFICE EXPENSE")</f>
        <v xml:space="preserve">          6241 - OFFICE EXPENSE</v>
      </c>
      <c r="C79" s="11"/>
      <c r="D79" s="7">
        <v>1157.3399999999999</v>
      </c>
      <c r="E79" s="2"/>
      <c r="F79" s="6">
        <f t="shared" si="44"/>
        <v>2.0021673798366548E-3</v>
      </c>
      <c r="G79" s="2"/>
      <c r="H79" s="7">
        <v>500</v>
      </c>
      <c r="I79" s="2"/>
      <c r="J79" s="6">
        <f t="shared" si="45"/>
        <v>1.1022927689594356E-3</v>
      </c>
      <c r="K79" s="2"/>
      <c r="L79" s="7">
        <f t="shared" si="46"/>
        <v>657.33999999999992</v>
      </c>
      <c r="M79" s="2"/>
      <c r="N79" s="6">
        <f t="shared" si="47"/>
        <v>1.3146799999999998</v>
      </c>
      <c r="O79" s="11"/>
      <c r="P79" s="7">
        <v>1723.74</v>
      </c>
      <c r="Q79" s="2"/>
      <c r="R79" s="6">
        <f t="shared" si="48"/>
        <v>2.1861384788489447E-3</v>
      </c>
      <c r="S79" s="2"/>
      <c r="T79" s="7">
        <v>1500</v>
      </c>
      <c r="U79" s="2"/>
      <c r="V79" s="6">
        <f t="shared" si="49"/>
        <v>2.6455026455026454E-3</v>
      </c>
      <c r="W79" s="2"/>
      <c r="X79" s="7">
        <f t="shared" si="50"/>
        <v>223.74</v>
      </c>
      <c r="Y79" s="2"/>
      <c r="Z79" s="6">
        <f t="shared" si="51"/>
        <v>0.14916000000000001</v>
      </c>
    </row>
    <row r="80" spans="1:26" s="24" customFormat="1" hidden="1" outlineLevel="2" x14ac:dyDescent="0.25">
      <c r="A80" s="29"/>
      <c r="B80" s="11" t="str">
        <f>CONCATENATE("          ", "6243", " - ", "PAPER SUPPLIES")</f>
        <v xml:space="preserve">          6243 - PAPER SUPPLIES</v>
      </c>
      <c r="C80" s="11"/>
      <c r="D80" s="7">
        <v>2097.87</v>
      </c>
      <c r="E80" s="2"/>
      <c r="F80" s="6">
        <f t="shared" si="44"/>
        <v>3.6292592333609167E-3</v>
      </c>
      <c r="G80" s="2"/>
      <c r="H80" s="7">
        <v>5000</v>
      </c>
      <c r="I80" s="2"/>
      <c r="J80" s="6">
        <f t="shared" si="45"/>
        <v>1.1022927689594356E-2</v>
      </c>
      <c r="K80" s="2"/>
      <c r="L80" s="7">
        <f t="shared" si="46"/>
        <v>-2902.13</v>
      </c>
      <c r="M80" s="2"/>
      <c r="N80" s="6">
        <f t="shared" si="47"/>
        <v>-0.580426</v>
      </c>
      <c r="O80" s="11"/>
      <c r="P80" s="7">
        <v>4342.29</v>
      </c>
      <c r="Q80" s="2"/>
      <c r="R80" s="6">
        <f t="shared" si="48"/>
        <v>5.5071224519480811E-3</v>
      </c>
      <c r="S80" s="2"/>
      <c r="T80" s="7">
        <v>15000</v>
      </c>
      <c r="U80" s="2"/>
      <c r="V80" s="6">
        <f t="shared" si="49"/>
        <v>2.6455026455026454E-2</v>
      </c>
      <c r="W80" s="2"/>
      <c r="X80" s="7">
        <f t="shared" si="50"/>
        <v>-10657.71</v>
      </c>
      <c r="Y80" s="2"/>
      <c r="Z80" s="6">
        <f t="shared" si="51"/>
        <v>-0.71051399999999998</v>
      </c>
    </row>
    <row r="81" spans="1:26" s="24" customFormat="1" hidden="1" outlineLevel="2" x14ac:dyDescent="0.25">
      <c r="A81" s="29"/>
      <c r="B81" s="11" t="str">
        <f>CONCATENATE("          ", "6244", " - ", "SAFETY SUPPLY EXPENSE")</f>
        <v xml:space="preserve">          6244 - SAFETY SUPPLY EXPENSE</v>
      </c>
      <c r="C81" s="11"/>
      <c r="D81" s="7"/>
      <c r="E81" s="2"/>
      <c r="F81" s="6">
        <f t="shared" si="44"/>
        <v>0</v>
      </c>
      <c r="G81" s="2"/>
      <c r="H81" s="7">
        <v>200</v>
      </c>
      <c r="I81" s="2"/>
      <c r="J81" s="6">
        <f t="shared" si="45"/>
        <v>4.4091710758377423E-4</v>
      </c>
      <c r="K81" s="2"/>
      <c r="L81" s="7">
        <f t="shared" si="46"/>
        <v>-200</v>
      </c>
      <c r="M81" s="2"/>
      <c r="N81" s="6">
        <f t="shared" si="47"/>
        <v>-1</v>
      </c>
      <c r="O81" s="11"/>
      <c r="P81" s="7"/>
      <c r="Q81" s="2"/>
      <c r="R81" s="6">
        <f t="shared" si="48"/>
        <v>0</v>
      </c>
      <c r="S81" s="2"/>
      <c r="T81" s="7">
        <v>600</v>
      </c>
      <c r="U81" s="2"/>
      <c r="V81" s="6">
        <f t="shared" si="49"/>
        <v>1.0582010582010583E-3</v>
      </c>
      <c r="W81" s="2"/>
      <c r="X81" s="7">
        <f t="shared" si="50"/>
        <v>-600</v>
      </c>
      <c r="Y81" s="2"/>
      <c r="Z81" s="6">
        <f t="shared" si="51"/>
        <v>-1</v>
      </c>
    </row>
    <row r="82" spans="1:26" s="24" customFormat="1" hidden="1" outlineLevel="2" x14ac:dyDescent="0.25">
      <c r="A82" s="29"/>
      <c r="B82" s="11" t="str">
        <f>CONCATENATE("          ", "6247", " - ", "STORE SUPPLIES")</f>
        <v xml:space="preserve">          6247 - STORE SUPPLIES</v>
      </c>
      <c r="C82" s="11"/>
      <c r="D82" s="7">
        <v>127.34</v>
      </c>
      <c r="E82" s="2"/>
      <c r="F82" s="6">
        <f t="shared" si="44"/>
        <v>2.2029480891388843E-4</v>
      </c>
      <c r="G82" s="2"/>
      <c r="H82" s="7"/>
      <c r="I82" s="2"/>
      <c r="J82" s="6">
        <f t="shared" si="45"/>
        <v>0</v>
      </c>
      <c r="K82" s="2"/>
      <c r="L82" s="7">
        <f t="shared" si="46"/>
        <v>127.34</v>
      </c>
      <c r="M82" s="2"/>
      <c r="N82" s="6">
        <f t="shared" si="47"/>
        <v>0</v>
      </c>
      <c r="O82" s="11"/>
      <c r="P82" s="7">
        <v>127.34</v>
      </c>
      <c r="Q82" s="2"/>
      <c r="R82" s="6">
        <f t="shared" si="48"/>
        <v>1.6149934090792383E-4</v>
      </c>
      <c r="S82" s="2"/>
      <c r="T82" s="7"/>
      <c r="U82" s="2"/>
      <c r="V82" s="6">
        <f t="shared" si="49"/>
        <v>0</v>
      </c>
      <c r="W82" s="2"/>
      <c r="X82" s="7">
        <f t="shared" si="50"/>
        <v>127.34</v>
      </c>
      <c r="Y82" s="2"/>
      <c r="Z82" s="6">
        <f t="shared" si="51"/>
        <v>0</v>
      </c>
    </row>
    <row r="83" spans="1:26" s="24" customFormat="1" hidden="1" outlineLevel="2" x14ac:dyDescent="0.25">
      <c r="A83" s="29"/>
      <c r="B83" s="11" t="str">
        <f>CONCATENATE("          ", "6248", " - ", "UNIFORMS")</f>
        <v xml:space="preserve">          6248 - UNIFORMS</v>
      </c>
      <c r="C83" s="11"/>
      <c r="D83" s="7"/>
      <c r="E83" s="2"/>
      <c r="F83" s="6">
        <f t="shared" si="44"/>
        <v>0</v>
      </c>
      <c r="G83" s="2"/>
      <c r="H83" s="7">
        <v>196</v>
      </c>
      <c r="I83" s="2"/>
      <c r="J83" s="6">
        <f t="shared" si="45"/>
        <v>4.3209876543209879E-4</v>
      </c>
      <c r="K83" s="2"/>
      <c r="L83" s="7">
        <f t="shared" si="46"/>
        <v>-196</v>
      </c>
      <c r="M83" s="2"/>
      <c r="N83" s="6">
        <f t="shared" si="47"/>
        <v>-1</v>
      </c>
      <c r="O83" s="11"/>
      <c r="P83" s="7"/>
      <c r="Q83" s="2"/>
      <c r="R83" s="6">
        <f t="shared" si="48"/>
        <v>0</v>
      </c>
      <c r="S83" s="2"/>
      <c r="T83" s="7">
        <v>588</v>
      </c>
      <c r="U83" s="2"/>
      <c r="V83" s="6">
        <f t="shared" si="49"/>
        <v>1.0370370370370371E-3</v>
      </c>
      <c r="W83" s="2"/>
      <c r="X83" s="7">
        <f t="shared" si="50"/>
        <v>-588</v>
      </c>
      <c r="Y83" s="2"/>
      <c r="Z83" s="6">
        <f t="shared" si="51"/>
        <v>-1</v>
      </c>
    </row>
    <row r="84" spans="1:26" s="28" customFormat="1" outlineLevel="1" collapsed="1" x14ac:dyDescent="0.25">
      <c r="A84" s="27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SUM(OSRRefD22_14x_0)</f>
        <v>239</v>
      </c>
      <c r="E84" s="1"/>
      <c r="F84" s="5">
        <f t="shared" ref="F84:F85" si="52">IF(D$12=0,0,D84/D$12)</f>
        <v>4.1346363538887496E-4</v>
      </c>
      <c r="G84" s="1"/>
      <c r="H84" s="1">
        <f>SUM(OSRRefH22_14x_0)</f>
        <v>175</v>
      </c>
      <c r="I84" s="1"/>
      <c r="J84" s="5">
        <f t="shared" ref="J84:J85" si="53">IF(H$12=0,0,H84/H$12)</f>
        <v>3.8580246913580245E-4</v>
      </c>
      <c r="K84" s="1"/>
      <c r="L84" s="1">
        <f t="shared" ref="L84:L85" si="54">+D84-H84</f>
        <v>64</v>
      </c>
      <c r="M84" s="1"/>
      <c r="N84" s="5">
        <f t="shared" ref="N84:N85" si="55">IF(H84=0,0,L84/H84)</f>
        <v>0.36571428571428571</v>
      </c>
      <c r="O84" s="14"/>
      <c r="P84" s="1">
        <f>SUM(OSRRefP22_14x_0)</f>
        <v>567</v>
      </c>
      <c r="Q84" s="1"/>
      <c r="R84" s="5">
        <f t="shared" ref="R84:R85" si="56">IF(P$12=0,0,P84/P$12)</f>
        <v>7.190994683115503E-4</v>
      </c>
      <c r="S84" s="1"/>
      <c r="T84" s="1">
        <f>SUM(OSRRefT22_14x_0)</f>
        <v>525</v>
      </c>
      <c r="U84" s="1"/>
      <c r="V84" s="5">
        <f t="shared" ref="V84:V85" si="57">IF(T$12=0,0,T84/T$12)</f>
        <v>9.2592592592592596E-4</v>
      </c>
      <c r="W84" s="1"/>
      <c r="X84" s="1">
        <f t="shared" ref="X84:X85" si="58">+P84-T84</f>
        <v>42</v>
      </c>
      <c r="Y84" s="1"/>
      <c r="Z84" s="5">
        <f t="shared" ref="Z84:Z85" si="59">IF(T84=0,0,X84/T84)</f>
        <v>0.08</v>
      </c>
    </row>
    <row r="85" spans="1:26" s="24" customFormat="1" hidden="1" outlineLevel="2" x14ac:dyDescent="0.25">
      <c r="A85" s="29"/>
      <c r="B85" s="11" t="str">
        <f>CONCATENATE("          ", "6309", " - ", "TELEPHONE")</f>
        <v xml:space="preserve">          6309 - TELEPHONE</v>
      </c>
      <c r="C85" s="11"/>
      <c r="D85" s="7">
        <v>239</v>
      </c>
      <c r="E85" s="2"/>
      <c r="F85" s="6">
        <f t="shared" si="52"/>
        <v>4.1346363538887496E-4</v>
      </c>
      <c r="G85" s="2"/>
      <c r="H85" s="7">
        <v>175</v>
      </c>
      <c r="I85" s="2"/>
      <c r="J85" s="6">
        <f t="shared" si="53"/>
        <v>3.8580246913580245E-4</v>
      </c>
      <c r="K85" s="2"/>
      <c r="L85" s="7">
        <f t="shared" si="54"/>
        <v>64</v>
      </c>
      <c r="M85" s="2"/>
      <c r="N85" s="6">
        <f t="shared" si="55"/>
        <v>0.36571428571428571</v>
      </c>
      <c r="O85" s="11"/>
      <c r="P85" s="7">
        <v>567</v>
      </c>
      <c r="Q85" s="2"/>
      <c r="R85" s="6">
        <f t="shared" si="56"/>
        <v>7.190994683115503E-4</v>
      </c>
      <c r="S85" s="2"/>
      <c r="T85" s="7">
        <v>525</v>
      </c>
      <c r="U85" s="2"/>
      <c r="V85" s="6">
        <f t="shared" si="57"/>
        <v>9.2592592592592596E-4</v>
      </c>
      <c r="W85" s="2"/>
      <c r="X85" s="7">
        <f t="shared" si="58"/>
        <v>42</v>
      </c>
      <c r="Y85" s="2"/>
      <c r="Z85" s="6">
        <f t="shared" si="59"/>
        <v>0.08</v>
      </c>
    </row>
    <row r="86" spans="1:26" s="58" customFormat="1" x14ac:dyDescent="0.25">
      <c r="A86" s="36"/>
      <c r="B86" s="36"/>
      <c r="C86" s="36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6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x14ac:dyDescent="0.25">
      <c r="A87" s="10"/>
      <c r="B87" s="26" t="s">
        <v>293</v>
      </c>
      <c r="C87" s="10"/>
      <c r="D87" s="4">
        <f>SUM(0)</f>
        <v>0</v>
      </c>
      <c r="E87" s="4"/>
      <c r="F87" s="12">
        <f>IF(D$12=0,0,D87/D$12)</f>
        <v>0</v>
      </c>
      <c r="G87" s="4"/>
      <c r="H87" s="4">
        <f>SUM(0)</f>
        <v>0</v>
      </c>
      <c r="I87" s="4"/>
      <c r="J87" s="12">
        <f>IF(H$12=0,0,H87/H$12)</f>
        <v>0</v>
      </c>
      <c r="K87" s="4"/>
      <c r="L87" s="4">
        <f>+D87-H87</f>
        <v>0</v>
      </c>
      <c r="M87" s="4"/>
      <c r="N87" s="12">
        <f>IF(H87=0,0,L87/H87)</f>
        <v>0</v>
      </c>
      <c r="O87" s="10"/>
      <c r="P87" s="4">
        <f>SUM(0)</f>
        <v>0</v>
      </c>
      <c r="Q87" s="4"/>
      <c r="R87" s="12">
        <f>IF(P$12=0,0,P87/P$12)</f>
        <v>0</v>
      </c>
      <c r="S87" s="4"/>
      <c r="T87" s="4">
        <f>SUM(0)</f>
        <v>0</v>
      </c>
      <c r="U87" s="4"/>
      <c r="V87" s="12">
        <f>IF(T$12=0,0,T87/T$12)</f>
        <v>0</v>
      </c>
      <c r="W87" s="4"/>
      <c r="X87" s="4">
        <f>+P87-T87</f>
        <v>0</v>
      </c>
      <c r="Y87" s="4"/>
      <c r="Z87" s="12">
        <f>IF(T87=0,0,X87/T87)</f>
        <v>0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10"/>
      <c r="B89" s="25" t="s">
        <v>277</v>
      </c>
      <c r="C89" s="25"/>
      <c r="D89" s="21">
        <f>+D23-D25+D87</f>
        <v>281582.01000000013</v>
      </c>
      <c r="E89" s="13"/>
      <c r="F89" s="20">
        <f>IF(D$12=0,0,D89/D$12)</f>
        <v>0.48712937872262174</v>
      </c>
      <c r="G89" s="13"/>
      <c r="H89" s="21">
        <f>+H23-H25+H87</f>
        <v>153194.57810307696</v>
      </c>
      <c r="I89" s="13"/>
      <c r="J89" s="20">
        <f>IF(H$12=0,0,H89/H$12)</f>
        <v>0.33773055137362645</v>
      </c>
      <c r="K89" s="16"/>
      <c r="L89" s="21">
        <f>+D89-H89</f>
        <v>128387.43189692317</v>
      </c>
      <c r="M89" s="16"/>
      <c r="N89" s="20">
        <f>IF(H89=0,0,L89/H89)</f>
        <v>0.83806772724383038</v>
      </c>
      <c r="O89" s="26"/>
      <c r="P89" s="21">
        <f>+P23-P25+P87</f>
        <v>308081.22999999992</v>
      </c>
      <c r="Q89" s="13"/>
      <c r="R89" s="20">
        <f>IF(P$12=0,0,P89/P$12)</f>
        <v>0.39072495359747511</v>
      </c>
      <c r="S89" s="13"/>
      <c r="T89" s="21">
        <f>+T23-T25+T87</f>
        <v>-40181.606164999888</v>
      </c>
      <c r="U89" s="13"/>
      <c r="V89" s="20">
        <f>IF(T$12=0,0,T89/T$12)</f>
        <v>-7.0867030273368409E-2</v>
      </c>
      <c r="W89" s="16"/>
      <c r="X89" s="21">
        <f>+P89-T89</f>
        <v>348262.83616499981</v>
      </c>
      <c r="Y89" s="16"/>
      <c r="Z89" s="20">
        <f>IF(T89=0,0,X89/T89)</f>
        <v>-8.667220387729385</v>
      </c>
    </row>
    <row r="90" spans="1:26" x14ac:dyDescent="0.25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52"/>
      <c r="B91" s="10" t="s">
        <v>128</v>
      </c>
      <c r="C91" s="10"/>
      <c r="D91" s="4">
        <v>66148.289999999994</v>
      </c>
      <c r="E91" s="4"/>
      <c r="F91" s="12">
        <f>IF(D$12=0,0,D91/D$12)</f>
        <v>0.11443478015965507</v>
      </c>
      <c r="G91" s="4"/>
      <c r="H91" s="4">
        <v>48867</v>
      </c>
      <c r="I91" s="4"/>
      <c r="J91" s="12">
        <f>IF(H$12=0,0,H91/H$12)</f>
        <v>0.10773148148148148</v>
      </c>
      <c r="K91" s="4"/>
      <c r="L91" s="4">
        <f>+D91-H91</f>
        <v>17281.289999999994</v>
      </c>
      <c r="M91" s="4"/>
      <c r="N91" s="12">
        <f>IF(H91=0,0,L91/H91)</f>
        <v>0.35363926576217064</v>
      </c>
      <c r="O91" s="10"/>
      <c r="P91" s="4">
        <v>97595.37</v>
      </c>
      <c r="Q91" s="4"/>
      <c r="R91" s="12">
        <f>IF(P$12=0,0,P91/P$12)</f>
        <v>0.12377562376837571</v>
      </c>
      <c r="S91" s="4"/>
      <c r="T91" s="4">
        <v>61567</v>
      </c>
      <c r="U91" s="4"/>
      <c r="V91" s="12">
        <f>IF(T$12=0,0,T91/T$12)</f>
        <v>0.10858377425044091</v>
      </c>
      <c r="W91" s="4"/>
      <c r="X91" s="4">
        <f>+P91-T91</f>
        <v>36028.369999999995</v>
      </c>
      <c r="Y91" s="4"/>
      <c r="Z91" s="12">
        <f>IF(T91=0,0,X91/T91)</f>
        <v>0.58518963080871234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5" t="s">
        <v>126</v>
      </c>
      <c r="C93" s="25"/>
      <c r="D93" s="33">
        <f>+D89-D91</f>
        <v>215433.72000000015</v>
      </c>
      <c r="E93" s="13"/>
      <c r="F93" s="31">
        <f>IF(D$12=0,0,D93/D$12)</f>
        <v>0.37269459856296666</v>
      </c>
      <c r="G93" s="13"/>
      <c r="H93" s="33">
        <f>+H89-H91</f>
        <v>104327.57810307696</v>
      </c>
      <c r="I93" s="13"/>
      <c r="J93" s="31">
        <f>IF(H$12=0,0,H93/H$12)</f>
        <v>0.22999906989214497</v>
      </c>
      <c r="K93" s="16"/>
      <c r="L93" s="33">
        <f>D93-H93</f>
        <v>111106.14189692319</v>
      </c>
      <c r="M93" s="16"/>
      <c r="N93" s="31">
        <f>IF(H93=0,0,L93/H93)</f>
        <v>1.0649738440889418</v>
      </c>
      <c r="O93" s="26"/>
      <c r="P93" s="33">
        <f>+P89-P91</f>
        <v>210485.85999999993</v>
      </c>
      <c r="Q93" s="13"/>
      <c r="R93" s="31">
        <f>IF(P$12=0,0,P93/P$12)</f>
        <v>0.26694932982909941</v>
      </c>
      <c r="S93" s="13"/>
      <c r="T93" s="33">
        <f>+T89-T91</f>
        <v>-101748.60616499989</v>
      </c>
      <c r="U93" s="13"/>
      <c r="V93" s="31">
        <f>IF(T$12=0,0,T93/T$12)</f>
        <v>-0.17945080452380932</v>
      </c>
      <c r="W93" s="16"/>
      <c r="X93" s="33">
        <f>P93-T93</f>
        <v>312234.46616499982</v>
      </c>
      <c r="Y93" s="16"/>
      <c r="Z93" s="31">
        <f>IF(T93=0,0,X93/T93)</f>
        <v>-3.0686854388812663</v>
      </c>
    </row>
    <row r="94" spans="1:26" ht="15.75" thickTop="1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5" t="s">
        <v>294</v>
      </c>
      <c r="C96" s="25"/>
      <c r="D96" s="35">
        <f>SUM(D93:D95)</f>
        <v>215433.72000000015</v>
      </c>
      <c r="E96" s="13"/>
      <c r="F96" s="34">
        <f>IF(D$12=0,0,D96/D$12)</f>
        <v>0.37269459856296666</v>
      </c>
      <c r="G96" s="13"/>
      <c r="H96" s="35">
        <f>SUM(H93:H95)</f>
        <v>104327.57810307696</v>
      </c>
      <c r="I96" s="13"/>
      <c r="J96" s="34">
        <f>IF(H$12=0,0,H96/H$12)</f>
        <v>0.22999906989214497</v>
      </c>
      <c r="K96" s="16"/>
      <c r="L96" s="35">
        <f>+D96-H96</f>
        <v>111106.14189692319</v>
      </c>
      <c r="M96" s="16"/>
      <c r="N96" s="34">
        <f>IF(H96=0,0,L96/H96)</f>
        <v>1.0649738440889418</v>
      </c>
      <c r="O96" s="26"/>
      <c r="P96" s="35">
        <f>SUM(P93:P95)</f>
        <v>210485.85999999993</v>
      </c>
      <c r="Q96" s="13"/>
      <c r="R96" s="34">
        <f>IF(P$12=0,0,P96/P$12)</f>
        <v>0.26694932982909941</v>
      </c>
      <c r="S96" s="13"/>
      <c r="T96" s="35">
        <f>SUM(T93:T95)</f>
        <v>-101748.60616499989</v>
      </c>
      <c r="U96" s="13"/>
      <c r="V96" s="34">
        <f>IF(T$12=0,0,T96/T$12)</f>
        <v>-0.17945080452380932</v>
      </c>
      <c r="W96" s="16"/>
      <c r="X96" s="35">
        <f>+P96-T96</f>
        <v>312234.46616499982</v>
      </c>
      <c r="Y96" s="16"/>
      <c r="Z96" s="34">
        <f>IF(T96=0,0,X96/T96)</f>
        <v>-3.0686854388812663</v>
      </c>
    </row>
    <row r="97" spans="1:24" ht="15.75" thickTop="1" x14ac:dyDescent="0.25">
      <c r="A97" s="9"/>
      <c r="C97" s="9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A98" s="9"/>
      <c r="B98" s="61">
        <v>44481.978956793981</v>
      </c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25">
      <c r="A99" s="9"/>
      <c r="B99" s="56" t="s">
        <v>56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4" x14ac:dyDescent="0.25">
      <c r="A100" s="9"/>
      <c r="B100" s="54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4" x14ac:dyDescent="0.25"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","444", " - ", "Parkside Dining Hall")</f>
        <v>Department 444 - Parkside Dining Hall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686332.24</v>
      </c>
      <c r="E12" s="4"/>
      <c r="F12" s="12"/>
      <c r="G12" s="4"/>
      <c r="H12" s="4">
        <f>SUM(OSRRefH13x_0)</f>
        <v>554400</v>
      </c>
      <c r="I12" s="4"/>
      <c r="J12" s="12"/>
      <c r="K12" s="4"/>
      <c r="L12" s="4">
        <f t="shared" ref="L12:L16" si="0">+D12-H12</f>
        <v>131932.24</v>
      </c>
      <c r="M12" s="4"/>
      <c r="N12" s="12">
        <f t="shared" ref="N12:N16" si="1">IF(H12=0,0,L12/H12)</f>
        <v>0.23797301587301586</v>
      </c>
      <c r="O12" s="10"/>
      <c r="P12" s="4">
        <f>SUM(OSRRefP13x_0)</f>
        <v>940208.41</v>
      </c>
      <c r="Q12" s="4"/>
      <c r="R12" s="12"/>
      <c r="S12" s="4"/>
      <c r="T12" s="4">
        <f>SUM(OSRRefT13x_0)</f>
        <v>693000</v>
      </c>
      <c r="U12" s="4"/>
      <c r="V12" s="12"/>
      <c r="W12" s="4"/>
      <c r="X12" s="4">
        <f t="shared" ref="X12:X16" si="2">+P12-T12</f>
        <v>247208.41000000003</v>
      </c>
      <c r="Y12" s="4"/>
      <c r="Z12" s="12">
        <f t="shared" ref="Z12:Z16" si="3">IF(T12=0,0,X12/T12)</f>
        <v>0.3567220923520924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--11.12</f>
        <v>11.12</v>
      </c>
      <c r="E13" s="2"/>
      <c r="F13" s="19"/>
      <c r="G13" s="2"/>
      <c r="H13" s="2"/>
      <c r="I13" s="2"/>
      <c r="J13" s="19"/>
      <c r="K13" s="2"/>
      <c r="L13" s="2">
        <f t="shared" si="0"/>
        <v>11.12</v>
      </c>
      <c r="M13" s="2"/>
      <c r="N13" s="19">
        <f t="shared" si="1"/>
        <v>0</v>
      </c>
      <c r="O13" s="11"/>
      <c r="P13" s="2">
        <f>--198.64</f>
        <v>198.64</v>
      </c>
      <c r="Q13" s="2"/>
      <c r="R13" s="19"/>
      <c r="S13" s="2"/>
      <c r="T13" s="2"/>
      <c r="U13" s="2"/>
      <c r="V13" s="19"/>
      <c r="W13" s="2"/>
      <c r="X13" s="2">
        <f t="shared" si="2"/>
        <v>198.64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554400</v>
      </c>
      <c r="I14" s="2"/>
      <c r="J14" s="19"/>
      <c r="K14" s="2"/>
      <c r="L14" s="2">
        <f t="shared" si="0"/>
        <v>-554400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693000</v>
      </c>
      <c r="U14" s="2"/>
      <c r="V14" s="19"/>
      <c r="W14" s="2"/>
      <c r="X14" s="2">
        <f t="shared" si="2"/>
        <v>-693000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--682773.44</f>
        <v>682773.44</v>
      </c>
      <c r="E15" s="2"/>
      <c r="F15" s="19"/>
      <c r="G15" s="2"/>
      <c r="H15" s="2"/>
      <c r="I15" s="2"/>
      <c r="J15" s="19"/>
      <c r="K15" s="2"/>
      <c r="L15" s="2">
        <f t="shared" si="0"/>
        <v>682773.44</v>
      </c>
      <c r="M15" s="2"/>
      <c r="N15" s="19">
        <f t="shared" si="1"/>
        <v>0</v>
      </c>
      <c r="O15" s="11"/>
      <c r="P15" s="2">
        <f>--931793.36</f>
        <v>931793.36</v>
      </c>
      <c r="Q15" s="2"/>
      <c r="R15" s="19"/>
      <c r="S15" s="2"/>
      <c r="T15" s="2"/>
      <c r="U15" s="2"/>
      <c r="V15" s="19"/>
      <c r="W15" s="2"/>
      <c r="X15" s="2">
        <f t="shared" si="2"/>
        <v>931793.36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--3547.68</f>
        <v>3547.68</v>
      </c>
      <c r="E16" s="2"/>
      <c r="F16" s="19"/>
      <c r="G16" s="2"/>
      <c r="H16" s="2"/>
      <c r="I16" s="2"/>
      <c r="J16" s="19"/>
      <c r="K16" s="2"/>
      <c r="L16" s="2">
        <f t="shared" si="0"/>
        <v>3547.68</v>
      </c>
      <c r="M16" s="2"/>
      <c r="N16" s="19">
        <f t="shared" si="1"/>
        <v>0</v>
      </c>
      <c r="O16" s="11"/>
      <c r="P16" s="2">
        <f>--8216.41</f>
        <v>8216.41</v>
      </c>
      <c r="Q16" s="2"/>
      <c r="R16" s="19"/>
      <c r="S16" s="2"/>
      <c r="T16" s="2"/>
      <c r="U16" s="2"/>
      <c r="V16" s="19"/>
      <c r="W16" s="2"/>
      <c r="X16" s="2">
        <f t="shared" si="2"/>
        <v>8216.41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257</v>
      </c>
      <c r="C18" s="10"/>
      <c r="D18" s="4">
        <f>SUM(OSRRefD16x_0)</f>
        <v>163730.09</v>
      </c>
      <c r="E18" s="4"/>
      <c r="F18" s="12">
        <f t="shared" ref="F18:F21" si="4">IF(D$12=0,0,D18/D$12)</f>
        <v>0.23855806336592902</v>
      </c>
      <c r="G18" s="4"/>
      <c r="H18" s="4">
        <f>SUM(OSRRefH16x_0)</f>
        <v>144144</v>
      </c>
      <c r="I18" s="4"/>
      <c r="J18" s="12">
        <f t="shared" ref="J18:J21" si="5">IF(H$12=0,0,H18/H$12)</f>
        <v>0.26</v>
      </c>
      <c r="K18" s="4"/>
      <c r="L18" s="4">
        <f t="shared" ref="L18:L21" si="6">+D18-H18</f>
        <v>19586.089999999997</v>
      </c>
      <c r="M18" s="4"/>
      <c r="N18" s="12">
        <f t="shared" ref="N18:N21" si="7">IF(H18=0,0,L18/H18)</f>
        <v>0.13587863525363522</v>
      </c>
      <c r="O18" s="10"/>
      <c r="P18" s="4">
        <f>SUM(OSRRefP16x_0)</f>
        <v>272307.65000000002</v>
      </c>
      <c r="Q18" s="4"/>
      <c r="R18" s="12">
        <f t="shared" ref="R18:R21" si="8">IF(P$12=0,0,P18/P$12)</f>
        <v>0.28962477585155827</v>
      </c>
      <c r="S18" s="4"/>
      <c r="T18" s="4">
        <f>SUM(OSRRefT16x_0)</f>
        <v>213444</v>
      </c>
      <c r="U18" s="4"/>
      <c r="V18" s="12">
        <f t="shared" ref="V18:V21" si="9">IF(T$12=0,0,T18/T$12)</f>
        <v>0.308</v>
      </c>
      <c r="W18" s="4"/>
      <c r="X18" s="4">
        <f t="shared" ref="X18:X21" si="10">+P18-T18</f>
        <v>58863.650000000023</v>
      </c>
      <c r="Y18" s="4"/>
      <c r="Z18" s="12">
        <f t="shared" ref="Z18:Z21" si="11">IF(T18=0,0,X18/T18)</f>
        <v>0.27578029834523354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144144</v>
      </c>
      <c r="I19" s="2"/>
      <c r="J19" s="19">
        <f t="shared" si="5"/>
        <v>0.26</v>
      </c>
      <c r="K19" s="2"/>
      <c r="L19" s="2">
        <f t="shared" si="6"/>
        <v>-144144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213444</v>
      </c>
      <c r="U19" s="2"/>
      <c r="V19" s="19">
        <f t="shared" si="9"/>
        <v>0.308</v>
      </c>
      <c r="W19" s="2"/>
      <c r="X19" s="2">
        <f t="shared" si="10"/>
        <v>-213444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166426.09</v>
      </c>
      <c r="E20" s="2"/>
      <c r="F20" s="19">
        <f t="shared" si="4"/>
        <v>0.2424861900702785</v>
      </c>
      <c r="G20" s="2"/>
      <c r="H20" s="2"/>
      <c r="I20" s="2"/>
      <c r="J20" s="19">
        <f t="shared" si="5"/>
        <v>0</v>
      </c>
      <c r="K20" s="2"/>
      <c r="L20" s="2">
        <f t="shared" si="6"/>
        <v>166426.09</v>
      </c>
      <c r="M20" s="2"/>
      <c r="N20" s="19">
        <f t="shared" si="7"/>
        <v>0</v>
      </c>
      <c r="O20" s="11"/>
      <c r="P20" s="2">
        <v>285774.65000000002</v>
      </c>
      <c r="Q20" s="2"/>
      <c r="R20" s="19">
        <f t="shared" si="8"/>
        <v>0.30394819591115974</v>
      </c>
      <c r="S20" s="2"/>
      <c r="T20" s="2"/>
      <c r="U20" s="2"/>
      <c r="V20" s="19">
        <f t="shared" si="9"/>
        <v>0</v>
      </c>
      <c r="W20" s="2"/>
      <c r="X20" s="2">
        <f t="shared" si="10"/>
        <v>285774.65000000002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-2696</v>
      </c>
      <c r="E21" s="2"/>
      <c r="F21" s="19">
        <f t="shared" si="4"/>
        <v>-3.9281267043494855E-3</v>
      </c>
      <c r="G21" s="2"/>
      <c r="H21" s="2"/>
      <c r="I21" s="2"/>
      <c r="J21" s="19">
        <f t="shared" si="5"/>
        <v>0</v>
      </c>
      <c r="K21" s="2"/>
      <c r="L21" s="2">
        <f t="shared" si="6"/>
        <v>-2696</v>
      </c>
      <c r="M21" s="2"/>
      <c r="N21" s="19">
        <f t="shared" si="7"/>
        <v>0</v>
      </c>
      <c r="O21" s="11"/>
      <c r="P21" s="2">
        <v>-13467</v>
      </c>
      <c r="Q21" s="2"/>
      <c r="R21" s="19">
        <f t="shared" si="8"/>
        <v>-1.4323420059601466E-2</v>
      </c>
      <c r="S21" s="2"/>
      <c r="T21" s="2"/>
      <c r="U21" s="2"/>
      <c r="V21" s="19">
        <f t="shared" si="9"/>
        <v>0</v>
      </c>
      <c r="W21" s="2"/>
      <c r="X21" s="2">
        <f t="shared" si="10"/>
        <v>-13467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108</v>
      </c>
      <c r="C23" s="25"/>
      <c r="D23" s="21">
        <f>D12-D18</f>
        <v>522602.15</v>
      </c>
      <c r="E23" s="13"/>
      <c r="F23" s="20">
        <f>IF(D$12=0,0,D23/D$12)</f>
        <v>0.761441936634071</v>
      </c>
      <c r="G23" s="13"/>
      <c r="H23" s="21">
        <f>H12-H18</f>
        <v>410256</v>
      </c>
      <c r="I23" s="13"/>
      <c r="J23" s="20">
        <f>IF(H$12=0,0,H23/H$12)</f>
        <v>0.74</v>
      </c>
      <c r="K23" s="16"/>
      <c r="L23" s="21">
        <f>+D23-H23</f>
        <v>112346.15000000002</v>
      </c>
      <c r="M23" s="16"/>
      <c r="N23" s="20">
        <f>IF(H23=0,0,L23/H23)</f>
        <v>0.27384401446901452</v>
      </c>
      <c r="O23" s="26"/>
      <c r="P23" s="21">
        <f>P12-P18</f>
        <v>667900.76</v>
      </c>
      <c r="Q23" s="13"/>
      <c r="R23" s="20">
        <f>IF(P$12=0,0,P23/P$12)</f>
        <v>0.71037522414844168</v>
      </c>
      <c r="S23" s="13"/>
      <c r="T23" s="21">
        <f>T12-T18</f>
        <v>479556</v>
      </c>
      <c r="U23" s="13"/>
      <c r="V23" s="20">
        <f>IF(T$12=0,0,T23/T$12)</f>
        <v>0.69199999999999995</v>
      </c>
      <c r="W23" s="16"/>
      <c r="X23" s="21">
        <f>+P23-T23</f>
        <v>188344.76</v>
      </c>
      <c r="Y23" s="16"/>
      <c r="Z23" s="20">
        <f>IF(T23=0,0,X23/T23)</f>
        <v>0.39274820875976946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295</v>
      </c>
      <c r="C25" s="10"/>
      <c r="D25" s="22">
        <f>SUM(OSRRefD22x_0)</f>
        <v>201112.06999999995</v>
      </c>
      <c r="E25" s="22"/>
      <c r="F25" s="32">
        <f t="shared" ref="F25:F36" si="12">IF(D$12=0,0,D25/D$12)</f>
        <v>0.29302436674109894</v>
      </c>
      <c r="G25" s="22"/>
      <c r="H25" s="22">
        <f>SUM(OSRRefH22x_0)</f>
        <v>237896.41969121993</v>
      </c>
      <c r="I25" s="22"/>
      <c r="J25" s="32">
        <f t="shared" ref="J25:J36" si="13">IF(H$12=0,0,H25/H$12)</f>
        <v>0.42910609612413408</v>
      </c>
      <c r="K25" s="4"/>
      <c r="L25" s="22">
        <f t="shared" ref="L25:L36" si="14">+D25-H25</f>
        <v>-36784.349691219977</v>
      </c>
      <c r="M25" s="4"/>
      <c r="N25" s="32">
        <f t="shared" ref="N25:N36" si="15">IF(H25=0,0,L25/H25)</f>
        <v>-0.15462338499656531</v>
      </c>
      <c r="O25" s="10"/>
      <c r="P25" s="22">
        <f>SUM(OSRRefP22x_0)</f>
        <v>422514.79</v>
      </c>
      <c r="Q25" s="22"/>
      <c r="R25" s="32">
        <f t="shared" ref="R25:R36" si="16">IF(P$12=0,0,P25/P$12)</f>
        <v>0.44938418493831594</v>
      </c>
      <c r="S25" s="22"/>
      <c r="T25" s="22">
        <f>SUM(OSRRefT22x_0)</f>
        <v>516343.68999646476</v>
      </c>
      <c r="U25" s="22"/>
      <c r="V25" s="32">
        <f t="shared" ref="V25:V36" si="17">IF(T$12=0,0,T25/T$12)</f>
        <v>0.74508468974958841</v>
      </c>
      <c r="W25" s="4"/>
      <c r="X25" s="22">
        <f t="shared" ref="X25:X36" si="18">+P25-T25</f>
        <v>-93828.899996464781</v>
      </c>
      <c r="Y25" s="4"/>
      <c r="Z25" s="32">
        <f t="shared" ref="Z25:Z36" si="19">IF(T25=0,0,X25/T25)</f>
        <v>-0.18171791737613216</v>
      </c>
    </row>
    <row r="26" spans="1:26" s="28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31119.300000000003</v>
      </c>
      <c r="E26" s="1"/>
      <c r="F26" s="5">
        <f t="shared" si="12"/>
        <v>4.5341451539563413E-2</v>
      </c>
      <c r="G26" s="1"/>
      <c r="H26" s="1">
        <f>SUM(OSRRefH22_0x_0)</f>
        <v>39846.494660450735</v>
      </c>
      <c r="I26" s="1"/>
      <c r="J26" s="5">
        <f t="shared" si="13"/>
        <v>7.187318661697463E-2</v>
      </c>
      <c r="K26" s="1"/>
      <c r="L26" s="1">
        <f t="shared" si="14"/>
        <v>-8727.194660450732</v>
      </c>
      <c r="M26" s="1"/>
      <c r="N26" s="5">
        <f t="shared" si="15"/>
        <v>-0.21902038648114328</v>
      </c>
      <c r="O26" s="14"/>
      <c r="P26" s="1">
        <f>SUM(OSRRefP22_0x_0)</f>
        <v>88430.2</v>
      </c>
      <c r="Q26" s="1"/>
      <c r="R26" s="5">
        <f t="shared" si="16"/>
        <v>9.405382791672752E-2</v>
      </c>
      <c r="S26" s="1"/>
      <c r="T26" s="1">
        <f>SUM(OSRRefT22_0x_0)</f>
        <v>120096.9386464649</v>
      </c>
      <c r="U26" s="1"/>
      <c r="V26" s="5">
        <f t="shared" si="17"/>
        <v>0.1733000557669046</v>
      </c>
      <c r="W26" s="1"/>
      <c r="X26" s="1">
        <f t="shared" si="18"/>
        <v>-31666.738646464903</v>
      </c>
      <c r="Y26" s="1"/>
      <c r="Z26" s="5">
        <f t="shared" si="19"/>
        <v>-0.26367648504083685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7">
        <v>5155.2700000000004</v>
      </c>
      <c r="E27" s="2"/>
      <c r="F27" s="6">
        <f t="shared" si="12"/>
        <v>7.511332995226919E-3</v>
      </c>
      <c r="G27" s="2"/>
      <c r="H27" s="7">
        <v>3512.8786589123101</v>
      </c>
      <c r="I27" s="2"/>
      <c r="J27" s="6">
        <f t="shared" si="13"/>
        <v>6.3363612173742969E-3</v>
      </c>
      <c r="K27" s="2"/>
      <c r="L27" s="7">
        <f t="shared" si="14"/>
        <v>1642.3913410876903</v>
      </c>
      <c r="M27" s="2"/>
      <c r="N27" s="6">
        <f t="shared" si="15"/>
        <v>0.46753432172240833</v>
      </c>
      <c r="O27" s="11"/>
      <c r="P27" s="7">
        <v>12745.41</v>
      </c>
      <c r="Q27" s="2"/>
      <c r="R27" s="6">
        <f t="shared" si="16"/>
        <v>1.3555941283273566E-2</v>
      </c>
      <c r="S27" s="2"/>
      <c r="T27" s="7">
        <v>13804.591641465</v>
      </c>
      <c r="U27" s="2"/>
      <c r="V27" s="6">
        <f t="shared" si="17"/>
        <v>1.9920045658679653E-2</v>
      </c>
      <c r="W27" s="2"/>
      <c r="X27" s="7">
        <f t="shared" si="18"/>
        <v>-1059.1816414650002</v>
      </c>
      <c r="Y27" s="2"/>
      <c r="Z27" s="6">
        <f t="shared" si="19"/>
        <v>-7.6726763744573573E-2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>
        <v>3195.52</v>
      </c>
      <c r="E28" s="2"/>
      <c r="F28" s="6">
        <f t="shared" si="12"/>
        <v>4.6559374800752475E-3</v>
      </c>
      <c r="G28" s="2"/>
      <c r="H28" s="7">
        <v>4893.9505061384598</v>
      </c>
      <c r="I28" s="2"/>
      <c r="J28" s="6">
        <f t="shared" si="13"/>
        <v>8.8274720529193003E-3</v>
      </c>
      <c r="K28" s="2"/>
      <c r="L28" s="7">
        <f t="shared" si="14"/>
        <v>-1698.4305061384598</v>
      </c>
      <c r="M28" s="2"/>
      <c r="N28" s="6">
        <f t="shared" si="15"/>
        <v>-0.34704693151435145</v>
      </c>
      <c r="O28" s="11"/>
      <c r="P28" s="7">
        <v>6770.54</v>
      </c>
      <c r="Q28" s="2"/>
      <c r="R28" s="6">
        <f t="shared" si="16"/>
        <v>7.2011055506299923E-3</v>
      </c>
      <c r="S28" s="2"/>
      <c r="T28" s="7">
        <v>10373.20879495</v>
      </c>
      <c r="U28" s="2"/>
      <c r="V28" s="6">
        <f t="shared" si="17"/>
        <v>1.496855525966811E-2</v>
      </c>
      <c r="W28" s="2"/>
      <c r="X28" s="7">
        <f t="shared" si="18"/>
        <v>-3602.6687949500001</v>
      </c>
      <c r="Y28" s="2"/>
      <c r="Z28" s="6">
        <f t="shared" si="19"/>
        <v>-0.34730514599338741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7">
        <v>16032.62</v>
      </c>
      <c r="E29" s="2"/>
      <c r="F29" s="6">
        <f t="shared" si="12"/>
        <v>2.3359852656783253E-2</v>
      </c>
      <c r="G29" s="2"/>
      <c r="H29" s="7">
        <v>21172.769230769201</v>
      </c>
      <c r="I29" s="2"/>
      <c r="J29" s="6">
        <f t="shared" si="13"/>
        <v>3.819042069042064E-2</v>
      </c>
      <c r="K29" s="2"/>
      <c r="L29" s="7">
        <f t="shared" si="14"/>
        <v>-5140.1492307692006</v>
      </c>
      <c r="M29" s="2"/>
      <c r="N29" s="6">
        <f t="shared" si="15"/>
        <v>-0.24277170240439352</v>
      </c>
      <c r="O29" s="11"/>
      <c r="P29" s="7">
        <v>47496.67</v>
      </c>
      <c r="Q29" s="2"/>
      <c r="R29" s="6">
        <f t="shared" si="16"/>
        <v>5.0517172038484527E-2</v>
      </c>
      <c r="S29" s="2"/>
      <c r="T29" s="7">
        <v>67805.999999999898</v>
      </c>
      <c r="U29" s="2"/>
      <c r="V29" s="6">
        <f t="shared" si="17"/>
        <v>9.7844155844155692E-2</v>
      </c>
      <c r="W29" s="2"/>
      <c r="X29" s="7">
        <f t="shared" si="18"/>
        <v>-20309.3299999999</v>
      </c>
      <c r="Y29" s="2"/>
      <c r="Z29" s="6">
        <f t="shared" si="19"/>
        <v>-0.29952113382296447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>
        <v>230.79</v>
      </c>
      <c r="E30" s="2"/>
      <c r="F30" s="6">
        <f t="shared" si="12"/>
        <v>3.362657129439235E-4</v>
      </c>
      <c r="G30" s="2"/>
      <c r="H30" s="7">
        <v>271.16876155384602</v>
      </c>
      <c r="I30" s="2"/>
      <c r="J30" s="6">
        <f t="shared" si="13"/>
        <v>4.8912114277389256E-4</v>
      </c>
      <c r="K30" s="2"/>
      <c r="L30" s="7">
        <f t="shared" si="14"/>
        <v>-40.378761553846033</v>
      </c>
      <c r="M30" s="2"/>
      <c r="N30" s="6">
        <f t="shared" si="15"/>
        <v>-0.14890639070101006</v>
      </c>
      <c r="O30" s="11"/>
      <c r="P30" s="7">
        <v>488.99</v>
      </c>
      <c r="Q30" s="2"/>
      <c r="R30" s="6">
        <f t="shared" si="16"/>
        <v>5.2008681777266806E-4</v>
      </c>
      <c r="S30" s="2"/>
      <c r="T30" s="7">
        <v>574.76882505000003</v>
      </c>
      <c r="U30" s="2"/>
      <c r="V30" s="6">
        <f t="shared" si="17"/>
        <v>8.2939224393939394E-4</v>
      </c>
      <c r="W30" s="2"/>
      <c r="X30" s="7">
        <f t="shared" si="18"/>
        <v>-85.778825050000023</v>
      </c>
      <c r="Y30" s="2"/>
      <c r="Z30" s="6">
        <f t="shared" si="19"/>
        <v>-0.1492405664878188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7">
        <v>1434.5</v>
      </c>
      <c r="E31" s="2"/>
      <c r="F31" s="6">
        <f t="shared" si="12"/>
        <v>2.0900956073402585E-3</v>
      </c>
      <c r="G31" s="2"/>
      <c r="H31" s="7">
        <v>1406.6708415384601</v>
      </c>
      <c r="I31" s="2"/>
      <c r="J31" s="6">
        <f t="shared" si="13"/>
        <v>2.5372850677100652E-3</v>
      </c>
      <c r="K31" s="2"/>
      <c r="L31" s="7">
        <f t="shared" si="14"/>
        <v>27.829158461539919</v>
      </c>
      <c r="M31" s="2"/>
      <c r="N31" s="6">
        <f t="shared" si="15"/>
        <v>1.9783703223067793E-2</v>
      </c>
      <c r="O31" s="11"/>
      <c r="P31" s="7">
        <v>4303.5</v>
      </c>
      <c r="Q31" s="2"/>
      <c r="R31" s="6">
        <f t="shared" si="16"/>
        <v>4.5771766708617295E-3</v>
      </c>
      <c r="S31" s="2"/>
      <c r="T31" s="7">
        <v>4571.6802349999998</v>
      </c>
      <c r="U31" s="2"/>
      <c r="V31" s="6">
        <f t="shared" si="17"/>
        <v>6.5969411760461762E-3</v>
      </c>
      <c r="W31" s="2"/>
      <c r="X31" s="7">
        <f t="shared" si="18"/>
        <v>-268.18023499999981</v>
      </c>
      <c r="Y31" s="2"/>
      <c r="Z31" s="6">
        <f t="shared" si="19"/>
        <v>-5.8661197024861438E-2</v>
      </c>
    </row>
    <row r="32" spans="1:26" s="24" customFormat="1" hidden="1" outlineLevel="2" x14ac:dyDescent="0.25">
      <c r="A32" s="29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9"/>
      <c r="B33" s="11" t="str">
        <f>CONCATENATE("          ", "6117", " - ", "RETIREMENT STAFF HOURLY")</f>
        <v xml:space="preserve">          6117 - RETIREMENT STAFF HOURLY</v>
      </c>
      <c r="C33" s="11"/>
      <c r="D33" s="7">
        <v>316.89999999999998</v>
      </c>
      <c r="E33" s="2"/>
      <c r="F33" s="6">
        <f t="shared" si="12"/>
        <v>4.6172973019597619E-4</v>
      </c>
      <c r="G33" s="2"/>
      <c r="H33" s="7"/>
      <c r="I33" s="2"/>
      <c r="J33" s="6">
        <f t="shared" si="13"/>
        <v>0</v>
      </c>
      <c r="K33" s="2"/>
      <c r="L33" s="7">
        <f t="shared" si="14"/>
        <v>316.89999999999998</v>
      </c>
      <c r="M33" s="2"/>
      <c r="N33" s="6">
        <f t="shared" si="15"/>
        <v>0</v>
      </c>
      <c r="O33" s="11"/>
      <c r="P33" s="7">
        <v>1431.17</v>
      </c>
      <c r="Q33" s="2"/>
      <c r="R33" s="6">
        <f t="shared" si="16"/>
        <v>1.5221837890175859E-3</v>
      </c>
      <c r="S33" s="2"/>
      <c r="T33" s="7"/>
      <c r="U33" s="2"/>
      <c r="V33" s="6">
        <f t="shared" si="17"/>
        <v>0</v>
      </c>
      <c r="W33" s="2"/>
      <c r="X33" s="7">
        <f t="shared" si="18"/>
        <v>1431.17</v>
      </c>
      <c r="Y33" s="2"/>
      <c r="Z33" s="6">
        <f t="shared" si="19"/>
        <v>0</v>
      </c>
    </row>
    <row r="34" spans="1:26" s="24" customFormat="1" hidden="1" outlineLevel="2" x14ac:dyDescent="0.25">
      <c r="A34" s="29"/>
      <c r="B34" s="11" t="str">
        <f>CONCATENATE("          ", "6118", " - ", "VACATION")</f>
        <v xml:space="preserve">          6118 - VACATION</v>
      </c>
      <c r="C34" s="11"/>
      <c r="D34" s="7">
        <v>2432.7399999999998</v>
      </c>
      <c r="E34" s="2"/>
      <c r="F34" s="6">
        <f t="shared" si="12"/>
        <v>3.544551542559038E-3</v>
      </c>
      <c r="G34" s="2"/>
      <c r="H34" s="7">
        <v>1967.9663307692299</v>
      </c>
      <c r="I34" s="2"/>
      <c r="J34" s="6">
        <f t="shared" si="13"/>
        <v>3.5497228188478172E-3</v>
      </c>
      <c r="K34" s="2"/>
      <c r="L34" s="7">
        <f t="shared" si="14"/>
        <v>464.77366923076988</v>
      </c>
      <c r="M34" s="2"/>
      <c r="N34" s="6">
        <f t="shared" si="15"/>
        <v>0.23616952280332013</v>
      </c>
      <c r="O34" s="11"/>
      <c r="P34" s="7">
        <v>7469.11</v>
      </c>
      <c r="Q34" s="2"/>
      <c r="R34" s="6">
        <f t="shared" si="16"/>
        <v>7.9441003936563375E-3</v>
      </c>
      <c r="S34" s="2"/>
      <c r="T34" s="7">
        <v>6395.8905750000004</v>
      </c>
      <c r="U34" s="2"/>
      <c r="V34" s="6">
        <f t="shared" si="17"/>
        <v>9.2292793290043289E-3</v>
      </c>
      <c r="W34" s="2"/>
      <c r="X34" s="7">
        <f t="shared" si="18"/>
        <v>1073.2194249999993</v>
      </c>
      <c r="Y34" s="2"/>
      <c r="Z34" s="6">
        <f t="shared" si="19"/>
        <v>0.16779827803730041</v>
      </c>
    </row>
    <row r="35" spans="1:26" s="24" customFormat="1" hidden="1" outlineLevel="2" x14ac:dyDescent="0.25">
      <c r="A35" s="29"/>
      <c r="B35" s="11" t="str">
        <f>CONCATENATE("          ", "6119", " - ", "SICK LEAVE")</f>
        <v xml:space="preserve">          6119 - SICK LEAVE</v>
      </c>
      <c r="C35" s="11"/>
      <c r="D35" s="7">
        <v>1644.52</v>
      </c>
      <c r="E35" s="2"/>
      <c r="F35" s="6">
        <f t="shared" si="12"/>
        <v>2.3960990088415486E-3</v>
      </c>
      <c r="G35" s="2"/>
      <c r="H35" s="7">
        <v>4346.0903307692297</v>
      </c>
      <c r="I35" s="2"/>
      <c r="J35" s="6">
        <f t="shared" si="13"/>
        <v>7.8392682733932715E-3</v>
      </c>
      <c r="K35" s="2"/>
      <c r="L35" s="7">
        <f t="shared" si="14"/>
        <v>-2701.5703307692297</v>
      </c>
      <c r="M35" s="2"/>
      <c r="N35" s="6">
        <f t="shared" si="15"/>
        <v>-0.62160933739521917</v>
      </c>
      <c r="O35" s="11"/>
      <c r="P35" s="7">
        <v>5159.32</v>
      </c>
      <c r="Q35" s="2"/>
      <c r="R35" s="6">
        <f t="shared" si="16"/>
        <v>5.4874216664366994E-3</v>
      </c>
      <c r="S35" s="2"/>
      <c r="T35" s="7">
        <v>9745.7985750000007</v>
      </c>
      <c r="U35" s="2"/>
      <c r="V35" s="6">
        <f t="shared" si="17"/>
        <v>1.4063201406926408E-2</v>
      </c>
      <c r="W35" s="2"/>
      <c r="X35" s="7">
        <f t="shared" si="18"/>
        <v>-4586.478575000001</v>
      </c>
      <c r="Y35" s="2"/>
      <c r="Z35" s="6">
        <f t="shared" si="19"/>
        <v>-0.47061085243083844</v>
      </c>
    </row>
    <row r="36" spans="1:26" s="24" customFormat="1" hidden="1" outlineLevel="2" x14ac:dyDescent="0.25">
      <c r="A36" s="29"/>
      <c r="B36" s="11" t="str">
        <f>CONCATENATE("          ", "6156", " - ", "EMPLOYEE MEALS")</f>
        <v xml:space="preserve">          6156 - EMPLOYEE MEALS</v>
      </c>
      <c r="C36" s="11"/>
      <c r="D36" s="7">
        <v>676.44</v>
      </c>
      <c r="E36" s="2"/>
      <c r="F36" s="6">
        <f t="shared" si="12"/>
        <v>9.8558680559724266E-4</v>
      </c>
      <c r="G36" s="2"/>
      <c r="H36" s="7">
        <v>2275</v>
      </c>
      <c r="I36" s="2"/>
      <c r="J36" s="6">
        <f t="shared" si="13"/>
        <v>4.1035353535353539E-3</v>
      </c>
      <c r="K36" s="2"/>
      <c r="L36" s="7">
        <f t="shared" si="14"/>
        <v>-1598.56</v>
      </c>
      <c r="M36" s="2"/>
      <c r="N36" s="6">
        <f t="shared" si="15"/>
        <v>-0.70266373626373624</v>
      </c>
      <c r="O36" s="11"/>
      <c r="P36" s="7">
        <v>2565.4899999999998</v>
      </c>
      <c r="Q36" s="2"/>
      <c r="R36" s="6">
        <f t="shared" si="16"/>
        <v>2.7286397065944133E-3</v>
      </c>
      <c r="S36" s="2"/>
      <c r="T36" s="7">
        <v>6825</v>
      </c>
      <c r="U36" s="2"/>
      <c r="V36" s="6">
        <f t="shared" si="17"/>
        <v>9.8484848484848477E-3</v>
      </c>
      <c r="W36" s="2"/>
      <c r="X36" s="7">
        <f t="shared" si="18"/>
        <v>-4259.51</v>
      </c>
      <c r="Y36" s="2"/>
      <c r="Z36" s="6">
        <f t="shared" si="19"/>
        <v>-0.62410402930402931</v>
      </c>
    </row>
    <row r="37" spans="1:26" s="28" customFormat="1" outlineLevel="1" collapsed="1" x14ac:dyDescent="0.25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88403.16</v>
      </c>
      <c r="E37" s="1"/>
      <c r="F37" s="5">
        <f t="shared" ref="F37:F47" si="20">IF(D$12=0,0,D37/D$12)</f>
        <v>0.12880519790240366</v>
      </c>
      <c r="G37" s="1"/>
      <c r="H37" s="1">
        <f>SUM(OSRRefH22_1x_0)</f>
        <v>122813.9250307692</v>
      </c>
      <c r="I37" s="1"/>
      <c r="J37" s="5">
        <f t="shared" ref="J37:J47" si="21">IF(H$12=0,0,H37/H$12)</f>
        <v>0.22152583880008875</v>
      </c>
      <c r="K37" s="1"/>
      <c r="L37" s="1">
        <f t="shared" ref="L37:L47" si="22">+D37-H37</f>
        <v>-34410.765030769195</v>
      </c>
      <c r="M37" s="1"/>
      <c r="N37" s="5">
        <f t="shared" ref="N37:N47" si="23">IF(H37=0,0,L37/H37)</f>
        <v>-0.28018618427957653</v>
      </c>
      <c r="O37" s="14"/>
      <c r="P37" s="1">
        <f>SUM(OSRRefP22_1x_0)</f>
        <v>199849.62</v>
      </c>
      <c r="Q37" s="1"/>
      <c r="R37" s="5">
        <f t="shared" ref="R37:R47" si="24">IF(P$12=0,0,P37/P$12)</f>
        <v>0.21255885171246233</v>
      </c>
      <c r="S37" s="1"/>
      <c r="T37" s="1">
        <f>SUM(OSRRefT22_1x_0)</f>
        <v>257557.75134999992</v>
      </c>
      <c r="U37" s="1"/>
      <c r="V37" s="5">
        <f t="shared" ref="V37:V47" si="25">IF(T$12=0,0,T37/T$12)</f>
        <v>0.37165620685425671</v>
      </c>
      <c r="W37" s="1"/>
      <c r="X37" s="1">
        <f t="shared" ref="X37:X47" si="26">+P37-T37</f>
        <v>-57708.131349999923</v>
      </c>
      <c r="Y37" s="1"/>
      <c r="Z37" s="5">
        <f t="shared" ref="Z37:Z47" si="27">IF(T37=0,0,X37/T37)</f>
        <v>-0.2240589966619925</v>
      </c>
    </row>
    <row r="38" spans="1:26" s="24" customFormat="1" hidden="1" outlineLevel="2" x14ac:dyDescent="0.25">
      <c r="A38" s="29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"6002", " - ", "STAFF SALARIES")</f>
        <v xml:space="preserve">          6002 - STAFF SALARIES</v>
      </c>
      <c r="C39" s="11"/>
      <c r="D39" s="7">
        <v>18135.740000000002</v>
      </c>
      <c r="E39" s="2"/>
      <c r="F39" s="6">
        <f t="shared" si="20"/>
        <v>2.6424141171045676E-2</v>
      </c>
      <c r="G39" s="2"/>
      <c r="H39" s="7">
        <v>15375.239430769199</v>
      </c>
      <c r="I39" s="2"/>
      <c r="J39" s="6">
        <f t="shared" si="21"/>
        <v>2.77331158563658E-2</v>
      </c>
      <c r="K39" s="2"/>
      <c r="L39" s="7">
        <f t="shared" si="22"/>
        <v>2760.5005692308023</v>
      </c>
      <c r="M39" s="2"/>
      <c r="N39" s="6">
        <f t="shared" si="23"/>
        <v>0.17954195651135293</v>
      </c>
      <c r="O39" s="11"/>
      <c r="P39" s="7">
        <v>53224.52</v>
      </c>
      <c r="Q39" s="2"/>
      <c r="R39" s="6">
        <f t="shared" si="24"/>
        <v>5.6609278787455211E-2</v>
      </c>
      <c r="S39" s="2"/>
      <c r="T39" s="7">
        <v>49969.528149999896</v>
      </c>
      <c r="U39" s="2"/>
      <c r="V39" s="6">
        <f t="shared" si="25"/>
        <v>7.2106101226551075E-2</v>
      </c>
      <c r="W39" s="2"/>
      <c r="X39" s="7">
        <f t="shared" si="26"/>
        <v>3254.9918500001004</v>
      </c>
      <c r="Y39" s="2"/>
      <c r="Z39" s="6">
        <f t="shared" si="27"/>
        <v>6.5139535443063959E-2</v>
      </c>
    </row>
    <row r="40" spans="1:26" s="24" customFormat="1" hidden="1" outlineLevel="2" x14ac:dyDescent="0.25">
      <c r="A40" s="29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9"/>
      <c r="B41" s="11" t="str">
        <f>CONCATENATE("          ", "6004", " - ", "STAFF HOURLY")</f>
        <v xml:space="preserve">          6004 - STAFF HOURLY</v>
      </c>
      <c r="C41" s="11"/>
      <c r="D41" s="7">
        <v>31330.560000000001</v>
      </c>
      <c r="E41" s="2"/>
      <c r="F41" s="6">
        <f t="shared" si="20"/>
        <v>4.5649261646225452E-2</v>
      </c>
      <c r="G41" s="2"/>
      <c r="H41" s="7">
        <v>26709.4656</v>
      </c>
      <c r="I41" s="2"/>
      <c r="J41" s="6">
        <f t="shared" si="21"/>
        <v>4.817724675324675E-2</v>
      </c>
      <c r="K41" s="2"/>
      <c r="L41" s="7">
        <f t="shared" si="22"/>
        <v>4621.0944000000018</v>
      </c>
      <c r="M41" s="2"/>
      <c r="N41" s="6">
        <f t="shared" si="23"/>
        <v>0.17301336047696894</v>
      </c>
      <c r="O41" s="11"/>
      <c r="P41" s="7">
        <v>69545.81</v>
      </c>
      <c r="Q41" s="2"/>
      <c r="R41" s="6">
        <f t="shared" si="24"/>
        <v>7.3968504493594128E-2</v>
      </c>
      <c r="S41" s="2"/>
      <c r="T41" s="7">
        <v>86805.763200000001</v>
      </c>
      <c r="U41" s="2"/>
      <c r="V41" s="6">
        <f t="shared" si="25"/>
        <v>0.12526084155844155</v>
      </c>
      <c r="W41" s="2"/>
      <c r="X41" s="7">
        <f t="shared" si="26"/>
        <v>-17259.953200000004</v>
      </c>
      <c r="Y41" s="2"/>
      <c r="Z41" s="6">
        <f t="shared" si="27"/>
        <v>-0.19883418523990357</v>
      </c>
    </row>
    <row r="42" spans="1:26" s="24" customFormat="1" hidden="1" outlineLevel="2" x14ac:dyDescent="0.25">
      <c r="A42" s="29"/>
      <c r="B42" s="11" t="str">
        <f>CONCATENATE("          ", "6005", " - ", "TEMPORARY WAGES-HOURLY")</f>
        <v xml:space="preserve">          6005 - TEMPORARY WAGES-HOURLY</v>
      </c>
      <c r="C42" s="11"/>
      <c r="D42" s="7">
        <v>17998.93</v>
      </c>
      <c r="E42" s="2"/>
      <c r="F42" s="6">
        <f t="shared" si="20"/>
        <v>2.6224806225043428E-2</v>
      </c>
      <c r="G42" s="2"/>
      <c r="H42" s="7">
        <v>17834.419999999998</v>
      </c>
      <c r="I42" s="2"/>
      <c r="J42" s="6">
        <f t="shared" si="21"/>
        <v>3.2168867243867243E-2</v>
      </c>
      <c r="K42" s="2"/>
      <c r="L42" s="7">
        <f t="shared" si="22"/>
        <v>164.51000000000204</v>
      </c>
      <c r="M42" s="2"/>
      <c r="N42" s="6">
        <f t="shared" si="23"/>
        <v>9.2242977343811611E-3</v>
      </c>
      <c r="O42" s="11"/>
      <c r="P42" s="7">
        <v>30841.79</v>
      </c>
      <c r="Q42" s="2"/>
      <c r="R42" s="6">
        <f t="shared" si="24"/>
        <v>3.2803142018268054E-2</v>
      </c>
      <c r="S42" s="2"/>
      <c r="T42" s="7">
        <v>27623.66</v>
      </c>
      <c r="U42" s="2"/>
      <c r="V42" s="6">
        <f t="shared" si="25"/>
        <v>3.9860981240981239E-2</v>
      </c>
      <c r="W42" s="2"/>
      <c r="X42" s="7">
        <f t="shared" si="26"/>
        <v>3218.130000000001</v>
      </c>
      <c r="Y42" s="2"/>
      <c r="Z42" s="6">
        <f t="shared" si="27"/>
        <v>0.11649904465954189</v>
      </c>
    </row>
    <row r="43" spans="1:26" s="24" customFormat="1" hidden="1" outlineLevel="2" x14ac:dyDescent="0.25">
      <c r="A43" s="29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9"/>
      <c r="B44" s="11" t="str">
        <f>CONCATENATE("          ", "6007", " - ", "STUDENT HOURLY")</f>
        <v xml:space="preserve">          6007 - STUDENT HOURLY</v>
      </c>
      <c r="C44" s="11"/>
      <c r="D44" s="7">
        <v>19037.71</v>
      </c>
      <c r="E44" s="2"/>
      <c r="F44" s="6">
        <f t="shared" si="20"/>
        <v>2.7738329762856541E-2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19037.71</v>
      </c>
      <c r="M44" s="2"/>
      <c r="N44" s="6">
        <f t="shared" si="23"/>
        <v>0</v>
      </c>
      <c r="O44" s="11"/>
      <c r="P44" s="7">
        <v>42707.82</v>
      </c>
      <c r="Q44" s="2"/>
      <c r="R44" s="6">
        <f t="shared" si="24"/>
        <v>4.5423780031918666E-2</v>
      </c>
      <c r="S44" s="2"/>
      <c r="T44" s="7">
        <v>30264</v>
      </c>
      <c r="U44" s="2"/>
      <c r="V44" s="6">
        <f t="shared" si="25"/>
        <v>4.3670995670995673E-2</v>
      </c>
      <c r="W44" s="2"/>
      <c r="X44" s="7">
        <f t="shared" si="26"/>
        <v>12443.82</v>
      </c>
      <c r="Y44" s="2"/>
      <c r="Z44" s="6">
        <f t="shared" si="27"/>
        <v>0.41117565424266456</v>
      </c>
    </row>
    <row r="45" spans="1:26" s="24" customFormat="1" hidden="1" outlineLevel="2" x14ac:dyDescent="0.25">
      <c r="A45" s="29"/>
      <c r="B45" s="11" t="str">
        <f>CONCATENATE("          ", "6008", " - ", "STUDENT HOURLY-FICA EXEMPT")</f>
        <v xml:space="preserve">          6008 - STUDENT HOURLY-FICA EXEMPT</v>
      </c>
      <c r="C45" s="11"/>
      <c r="D45" s="7">
        <v>1900.22</v>
      </c>
      <c r="E45" s="2"/>
      <c r="F45" s="6">
        <f t="shared" si="20"/>
        <v>2.7686590972325589E-3</v>
      </c>
      <c r="G45" s="2"/>
      <c r="H45" s="7">
        <v>62894.8</v>
      </c>
      <c r="I45" s="2"/>
      <c r="J45" s="6">
        <f t="shared" si="21"/>
        <v>0.11344660894660895</v>
      </c>
      <c r="K45" s="2"/>
      <c r="L45" s="7">
        <f t="shared" si="22"/>
        <v>-60994.58</v>
      </c>
      <c r="M45" s="2"/>
      <c r="N45" s="6">
        <f t="shared" si="23"/>
        <v>-0.96978732741021512</v>
      </c>
      <c r="O45" s="11"/>
      <c r="P45" s="7">
        <v>3529.68</v>
      </c>
      <c r="Q45" s="2"/>
      <c r="R45" s="6">
        <f t="shared" si="24"/>
        <v>3.7541463812262644E-3</v>
      </c>
      <c r="S45" s="2"/>
      <c r="T45" s="7">
        <v>62894.8</v>
      </c>
      <c r="U45" s="2"/>
      <c r="V45" s="6">
        <f t="shared" si="25"/>
        <v>9.0757287157287161E-2</v>
      </c>
      <c r="W45" s="2"/>
      <c r="X45" s="7">
        <f t="shared" si="26"/>
        <v>-59365.120000000003</v>
      </c>
      <c r="Y45" s="2"/>
      <c r="Z45" s="6">
        <f t="shared" si="27"/>
        <v>-0.94387962120874858</v>
      </c>
    </row>
    <row r="46" spans="1:26" s="24" customFormat="1" hidden="1" outlineLevel="2" x14ac:dyDescent="0.25">
      <c r="A46" s="29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9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8" customFormat="1" outlineLevel="1" collapsed="1" x14ac:dyDescent="0.25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290.82</v>
      </c>
      <c r="E48" s="1"/>
      <c r="F48" s="5">
        <f t="shared" ref="F48:F68" si="28">IF(D$12=0,0,D48/D$12)</f>
        <v>4.2373064100850049E-4</v>
      </c>
      <c r="G48" s="1"/>
      <c r="H48" s="1">
        <f>SUM(OSRRefH22_2x_0)</f>
        <v>369</v>
      </c>
      <c r="I48" s="1"/>
      <c r="J48" s="5">
        <f t="shared" ref="J48:J68" si="29">IF(H$12=0,0,H48/H$12)</f>
        <v>6.6558441558441561E-4</v>
      </c>
      <c r="K48" s="1"/>
      <c r="L48" s="1">
        <f t="shared" ref="L48:L68" si="30">+D48-H48</f>
        <v>-78.180000000000007</v>
      </c>
      <c r="M48" s="1"/>
      <c r="N48" s="5">
        <f t="shared" ref="N48:N68" si="31">IF(H48=0,0,L48/H48)</f>
        <v>-0.211869918699187</v>
      </c>
      <c r="O48" s="14"/>
      <c r="P48" s="1">
        <f>SUM(OSRRefP22_2x_0)</f>
        <v>955.26</v>
      </c>
      <c r="Q48" s="1"/>
      <c r="R48" s="5">
        <f t="shared" ref="R48:R68" si="32">IF(P$12=0,0,P48/P$12)</f>
        <v>1.0160087804362439E-3</v>
      </c>
      <c r="S48" s="1"/>
      <c r="T48" s="1">
        <f>SUM(OSRRefT22_2x_0)</f>
        <v>1107</v>
      </c>
      <c r="U48" s="1"/>
      <c r="V48" s="5">
        <f t="shared" ref="V48:V68" si="33">IF(T$12=0,0,T48/T$12)</f>
        <v>1.5974025974025974E-3</v>
      </c>
      <c r="W48" s="1"/>
      <c r="X48" s="1">
        <f t="shared" ref="X48:X68" si="34">+P48-T48</f>
        <v>-151.74</v>
      </c>
      <c r="Y48" s="1"/>
      <c r="Z48" s="5">
        <f t="shared" ref="Z48:Z68" si="35">IF(T48=0,0,X48/T48)</f>
        <v>-0.13707317073170733</v>
      </c>
    </row>
    <row r="49" spans="1:26" s="24" customFormat="1" hidden="1" outlineLevel="2" x14ac:dyDescent="0.25">
      <c r="A49" s="29"/>
      <c r="B49" s="11" t="str">
        <f>CONCATENATE("          ", "6362", " - ", "ADVERTISING EXPENSE")</f>
        <v xml:space="preserve">          6362 - ADVERTISING EXPENSE</v>
      </c>
      <c r="C49" s="11"/>
      <c r="D49" s="7">
        <v>290.82</v>
      </c>
      <c r="E49" s="2"/>
      <c r="F49" s="6">
        <f t="shared" si="28"/>
        <v>4.2373064100850049E-4</v>
      </c>
      <c r="G49" s="2"/>
      <c r="H49" s="7">
        <v>369</v>
      </c>
      <c r="I49" s="2"/>
      <c r="J49" s="6">
        <f t="shared" si="29"/>
        <v>6.6558441558441561E-4</v>
      </c>
      <c r="K49" s="2"/>
      <c r="L49" s="7">
        <f t="shared" si="30"/>
        <v>-78.180000000000007</v>
      </c>
      <c r="M49" s="2"/>
      <c r="N49" s="6">
        <f t="shared" si="31"/>
        <v>-0.211869918699187</v>
      </c>
      <c r="O49" s="11"/>
      <c r="P49" s="7">
        <v>955.26</v>
      </c>
      <c r="Q49" s="2"/>
      <c r="R49" s="6">
        <f t="shared" si="32"/>
        <v>1.0160087804362439E-3</v>
      </c>
      <c r="S49" s="2"/>
      <c r="T49" s="7">
        <v>1107</v>
      </c>
      <c r="U49" s="2"/>
      <c r="V49" s="6">
        <f t="shared" si="33"/>
        <v>1.5974025974025974E-3</v>
      </c>
      <c r="W49" s="2"/>
      <c r="X49" s="7">
        <f t="shared" si="34"/>
        <v>-151.74</v>
      </c>
      <c r="Y49" s="2"/>
      <c r="Z49" s="6">
        <f t="shared" si="35"/>
        <v>-0.13707317073170733</v>
      </c>
    </row>
    <row r="50" spans="1:26" s="28" customFormat="1" outlineLevel="1" collapsed="1" x14ac:dyDescent="0.25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8</v>
      </c>
      <c r="I50" s="1"/>
      <c r="J50" s="5">
        <f t="shared" si="29"/>
        <v>1.443001443001443E-5</v>
      </c>
      <c r="K50" s="1"/>
      <c r="L50" s="1">
        <f t="shared" si="30"/>
        <v>-8</v>
      </c>
      <c r="M50" s="1"/>
      <c r="N50" s="5">
        <f t="shared" si="31"/>
        <v>-1</v>
      </c>
      <c r="O50" s="14"/>
      <c r="P50" s="1">
        <f>SUM(OSRRefP22_3x_0)</f>
        <v>0</v>
      </c>
      <c r="Q50" s="1"/>
      <c r="R50" s="5">
        <f t="shared" si="32"/>
        <v>0</v>
      </c>
      <c r="S50" s="1"/>
      <c r="T50" s="1">
        <f>SUM(OSRRefT22_3x_0)</f>
        <v>16</v>
      </c>
      <c r="U50" s="1"/>
      <c r="V50" s="5">
        <f t="shared" si="33"/>
        <v>2.3088023088023087E-5</v>
      </c>
      <c r="W50" s="1"/>
      <c r="X50" s="1">
        <f t="shared" si="34"/>
        <v>-16</v>
      </c>
      <c r="Y50" s="1"/>
      <c r="Z50" s="5">
        <f t="shared" si="35"/>
        <v>-1</v>
      </c>
    </row>
    <row r="51" spans="1:26" s="24" customFormat="1" hidden="1" outlineLevel="2" x14ac:dyDescent="0.25">
      <c r="A51" s="29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8"/>
        <v>0</v>
      </c>
      <c r="G51" s="2"/>
      <c r="H51" s="7">
        <v>8</v>
      </c>
      <c r="I51" s="2"/>
      <c r="J51" s="6">
        <f t="shared" si="29"/>
        <v>1.443001443001443E-5</v>
      </c>
      <c r="K51" s="2"/>
      <c r="L51" s="7">
        <f t="shared" si="30"/>
        <v>-8</v>
      </c>
      <c r="M51" s="2"/>
      <c r="N51" s="6">
        <f t="shared" si="31"/>
        <v>-1</v>
      </c>
      <c r="O51" s="11"/>
      <c r="P51" s="7"/>
      <c r="Q51" s="2"/>
      <c r="R51" s="6">
        <f t="shared" si="32"/>
        <v>0</v>
      </c>
      <c r="S51" s="2"/>
      <c r="T51" s="7">
        <v>16</v>
      </c>
      <c r="U51" s="2"/>
      <c r="V51" s="6">
        <f t="shared" si="33"/>
        <v>2.3088023088023087E-5</v>
      </c>
      <c r="W51" s="2"/>
      <c r="X51" s="7">
        <f t="shared" si="34"/>
        <v>-16</v>
      </c>
      <c r="Y51" s="2"/>
      <c r="Z51" s="6">
        <f t="shared" si="35"/>
        <v>-1</v>
      </c>
    </row>
    <row r="52" spans="1:26" s="28" customFormat="1" outlineLevel="1" collapsed="1" x14ac:dyDescent="0.25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54.15</v>
      </c>
      <c r="E52" s="1"/>
      <c r="F52" s="5">
        <f t="shared" si="28"/>
        <v>7.8897648753903788E-5</v>
      </c>
      <c r="G52" s="1"/>
      <c r="H52" s="1">
        <f>SUM(OSRRefH22_4x_0)</f>
        <v>270</v>
      </c>
      <c r="I52" s="1"/>
      <c r="J52" s="5">
        <f t="shared" si="29"/>
        <v>4.8701298701298701E-4</v>
      </c>
      <c r="K52" s="1"/>
      <c r="L52" s="1">
        <f t="shared" si="30"/>
        <v>-215.85</v>
      </c>
      <c r="M52" s="1"/>
      <c r="N52" s="5">
        <f t="shared" si="31"/>
        <v>-0.7994444444444444</v>
      </c>
      <c r="O52" s="14"/>
      <c r="P52" s="1">
        <f>SUM(OSRRefP22_4x_0)</f>
        <v>171.76</v>
      </c>
      <c r="Q52" s="1"/>
      <c r="R52" s="5">
        <f t="shared" si="32"/>
        <v>1.8268290112401781E-4</v>
      </c>
      <c r="S52" s="1"/>
      <c r="T52" s="1">
        <f>SUM(OSRRefT22_4x_0)</f>
        <v>405</v>
      </c>
      <c r="U52" s="1"/>
      <c r="V52" s="5">
        <f t="shared" si="33"/>
        <v>5.8441558441558442E-4</v>
      </c>
      <c r="W52" s="1"/>
      <c r="X52" s="1">
        <f t="shared" si="34"/>
        <v>-233.24</v>
      </c>
      <c r="Y52" s="1"/>
      <c r="Z52" s="5">
        <f t="shared" si="35"/>
        <v>-0.57590123456790121</v>
      </c>
    </row>
    <row r="53" spans="1:26" s="24" customFormat="1" hidden="1" outlineLevel="2" x14ac:dyDescent="0.25">
      <c r="A53" s="29"/>
      <c r="B53" s="11" t="str">
        <f>CONCATENATE("          ", "6381", " - ", "BANK/CREDIT CARD FEES")</f>
        <v xml:space="preserve">          6381 - BANK/CREDIT CARD FEES</v>
      </c>
      <c r="C53" s="11"/>
      <c r="D53" s="7">
        <v>54.15</v>
      </c>
      <c r="E53" s="2"/>
      <c r="F53" s="6">
        <f t="shared" si="28"/>
        <v>7.8897648753903788E-5</v>
      </c>
      <c r="G53" s="2"/>
      <c r="H53" s="7">
        <v>270</v>
      </c>
      <c r="I53" s="2"/>
      <c r="J53" s="6">
        <f t="shared" si="29"/>
        <v>4.8701298701298701E-4</v>
      </c>
      <c r="K53" s="2"/>
      <c r="L53" s="7">
        <f t="shared" si="30"/>
        <v>-215.85</v>
      </c>
      <c r="M53" s="2"/>
      <c r="N53" s="6">
        <f t="shared" si="31"/>
        <v>-0.7994444444444444</v>
      </c>
      <c r="O53" s="11"/>
      <c r="P53" s="7">
        <v>171.76</v>
      </c>
      <c r="Q53" s="2"/>
      <c r="R53" s="6">
        <f t="shared" si="32"/>
        <v>1.8268290112401781E-4</v>
      </c>
      <c r="S53" s="2"/>
      <c r="T53" s="7">
        <v>405</v>
      </c>
      <c r="U53" s="2"/>
      <c r="V53" s="6">
        <f t="shared" si="33"/>
        <v>5.8441558441558442E-4</v>
      </c>
      <c r="W53" s="2"/>
      <c r="X53" s="7">
        <f t="shared" si="34"/>
        <v>-233.24</v>
      </c>
      <c r="Y53" s="2"/>
      <c r="Z53" s="6">
        <f t="shared" si="35"/>
        <v>-0.57590123456790121</v>
      </c>
    </row>
    <row r="54" spans="1:26" s="28" customFormat="1" outlineLevel="1" collapsed="1" x14ac:dyDescent="0.25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273.51</v>
      </c>
      <c r="E54" s="1"/>
      <c r="F54" s="5">
        <f t="shared" si="28"/>
        <v>3.9850961977248801E-4</v>
      </c>
      <c r="G54" s="1"/>
      <c r="H54" s="1">
        <f>SUM(OSRRefH22_5x_0)</f>
        <v>273</v>
      </c>
      <c r="I54" s="1"/>
      <c r="J54" s="5">
        <f t="shared" si="29"/>
        <v>4.9242424242424245E-4</v>
      </c>
      <c r="K54" s="1"/>
      <c r="L54" s="1">
        <f t="shared" si="30"/>
        <v>0.50999999999999091</v>
      </c>
      <c r="M54" s="1"/>
      <c r="N54" s="5">
        <f t="shared" si="31"/>
        <v>1.8681318681318347E-3</v>
      </c>
      <c r="O54" s="14"/>
      <c r="P54" s="1">
        <f>SUM(OSRRefP22_5x_0)</f>
        <v>820.53</v>
      </c>
      <c r="Q54" s="1"/>
      <c r="R54" s="5">
        <f t="shared" si="32"/>
        <v>8.727107642017369E-4</v>
      </c>
      <c r="S54" s="1"/>
      <c r="T54" s="1">
        <f>SUM(OSRRefT22_5x_0)</f>
        <v>819</v>
      </c>
      <c r="U54" s="1"/>
      <c r="V54" s="5">
        <f t="shared" si="33"/>
        <v>1.1818181818181819E-3</v>
      </c>
      <c r="W54" s="1"/>
      <c r="X54" s="1">
        <f t="shared" si="34"/>
        <v>1.5299999999999727</v>
      </c>
      <c r="Y54" s="1"/>
      <c r="Z54" s="5">
        <f t="shared" si="35"/>
        <v>1.8681318681318347E-3</v>
      </c>
    </row>
    <row r="55" spans="1:26" s="24" customFormat="1" hidden="1" outlineLevel="2" x14ac:dyDescent="0.25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273.51</v>
      </c>
      <c r="E55" s="2"/>
      <c r="F55" s="6">
        <f t="shared" si="28"/>
        <v>3.9850961977248801E-4</v>
      </c>
      <c r="G55" s="2"/>
      <c r="H55" s="7">
        <v>273</v>
      </c>
      <c r="I55" s="2"/>
      <c r="J55" s="6">
        <f t="shared" si="29"/>
        <v>4.9242424242424245E-4</v>
      </c>
      <c r="K55" s="2"/>
      <c r="L55" s="7">
        <f t="shared" si="30"/>
        <v>0.50999999999999091</v>
      </c>
      <c r="M55" s="2"/>
      <c r="N55" s="6">
        <f t="shared" si="31"/>
        <v>1.8681318681318347E-3</v>
      </c>
      <c r="O55" s="11"/>
      <c r="P55" s="7">
        <v>820.53</v>
      </c>
      <c r="Q55" s="2"/>
      <c r="R55" s="6">
        <f t="shared" si="32"/>
        <v>8.727107642017369E-4</v>
      </c>
      <c r="S55" s="2"/>
      <c r="T55" s="7">
        <v>819</v>
      </c>
      <c r="U55" s="2"/>
      <c r="V55" s="6">
        <f t="shared" si="33"/>
        <v>1.1818181818181819E-3</v>
      </c>
      <c r="W55" s="2"/>
      <c r="X55" s="7">
        <f t="shared" si="34"/>
        <v>1.5299999999999727</v>
      </c>
      <c r="Y55" s="2"/>
      <c r="Z55" s="6">
        <f t="shared" si="35"/>
        <v>1.8681318681318347E-3</v>
      </c>
    </row>
    <row r="56" spans="1:26" s="28" customFormat="1" outlineLevel="1" collapsed="1" x14ac:dyDescent="0.25">
      <c r="A56" s="27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2945.42</v>
      </c>
      <c r="E56" s="1"/>
      <c r="F56" s="5">
        <f t="shared" si="28"/>
        <v>4.2915367053134503E-3</v>
      </c>
      <c r="G56" s="1"/>
      <c r="H56" s="1">
        <f>SUM(OSRRefH22_6x_0)</f>
        <v>6500</v>
      </c>
      <c r="I56" s="1"/>
      <c r="J56" s="5">
        <f t="shared" si="29"/>
        <v>1.1724386724386724E-2</v>
      </c>
      <c r="K56" s="1"/>
      <c r="L56" s="1">
        <f t="shared" si="30"/>
        <v>-3554.58</v>
      </c>
      <c r="M56" s="1"/>
      <c r="N56" s="5">
        <f t="shared" si="31"/>
        <v>-0.54685846153846152</v>
      </c>
      <c r="O56" s="14"/>
      <c r="P56" s="1">
        <f>SUM(OSRRefP22_6x_0)</f>
        <v>4404.2700000000004</v>
      </c>
      <c r="Q56" s="1"/>
      <c r="R56" s="5">
        <f t="shared" si="32"/>
        <v>4.6843550357095831E-3</v>
      </c>
      <c r="S56" s="1"/>
      <c r="T56" s="1">
        <f>SUM(OSRRefT22_6x_0)</f>
        <v>13000</v>
      </c>
      <c r="U56" s="1"/>
      <c r="V56" s="5">
        <f t="shared" si="33"/>
        <v>1.875901875901876E-2</v>
      </c>
      <c r="W56" s="1"/>
      <c r="X56" s="1">
        <f t="shared" si="34"/>
        <v>-8595.73</v>
      </c>
      <c r="Y56" s="1"/>
      <c r="Z56" s="5">
        <f t="shared" si="35"/>
        <v>-0.66120999999999996</v>
      </c>
    </row>
    <row r="57" spans="1:26" s="24" customFormat="1" hidden="1" outlineLevel="2" x14ac:dyDescent="0.25">
      <c r="A57" s="29"/>
      <c r="B57" s="11" t="str">
        <f>CONCATENATE("          ", "6399", " - ", "DONATION-ON CAMPUS")</f>
        <v xml:space="preserve">          6399 - DONATION-ON CAMPUS</v>
      </c>
      <c r="C57" s="11"/>
      <c r="D57" s="7">
        <v>2945.42</v>
      </c>
      <c r="E57" s="2"/>
      <c r="F57" s="6">
        <f t="shared" si="28"/>
        <v>4.2915367053134503E-3</v>
      </c>
      <c r="G57" s="2"/>
      <c r="H57" s="7">
        <v>6500</v>
      </c>
      <c r="I57" s="2"/>
      <c r="J57" s="6">
        <f t="shared" si="29"/>
        <v>1.1724386724386724E-2</v>
      </c>
      <c r="K57" s="2"/>
      <c r="L57" s="7">
        <f t="shared" si="30"/>
        <v>-3554.58</v>
      </c>
      <c r="M57" s="2"/>
      <c r="N57" s="6">
        <f t="shared" si="31"/>
        <v>-0.54685846153846152</v>
      </c>
      <c r="O57" s="11"/>
      <c r="P57" s="7">
        <v>4404.2700000000004</v>
      </c>
      <c r="Q57" s="2"/>
      <c r="R57" s="6">
        <f t="shared" si="32"/>
        <v>4.6843550357095831E-3</v>
      </c>
      <c r="S57" s="2"/>
      <c r="T57" s="7">
        <v>13000</v>
      </c>
      <c r="U57" s="2"/>
      <c r="V57" s="6">
        <f t="shared" si="33"/>
        <v>1.875901875901876E-2</v>
      </c>
      <c r="W57" s="2"/>
      <c r="X57" s="7">
        <f t="shared" si="34"/>
        <v>-8595.73</v>
      </c>
      <c r="Y57" s="2"/>
      <c r="Z57" s="6">
        <f t="shared" si="35"/>
        <v>-0.66120999999999996</v>
      </c>
    </row>
    <row r="58" spans="1:26" s="28" customFormat="1" outlineLevel="1" collapsed="1" x14ac:dyDescent="0.25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150</v>
      </c>
      <c r="I58" s="1"/>
      <c r="J58" s="5">
        <f t="shared" si="29"/>
        <v>2.7056277056277056E-4</v>
      </c>
      <c r="K58" s="1"/>
      <c r="L58" s="1">
        <f t="shared" si="30"/>
        <v>-150</v>
      </c>
      <c r="M58" s="1"/>
      <c r="N58" s="5">
        <f t="shared" si="31"/>
        <v>-1</v>
      </c>
      <c r="O58" s="14"/>
      <c r="P58" s="1">
        <f>SUM(OSRRefP22_7x_0)</f>
        <v>0</v>
      </c>
      <c r="Q58" s="1"/>
      <c r="R58" s="5">
        <f t="shared" si="32"/>
        <v>0</v>
      </c>
      <c r="S58" s="1"/>
      <c r="T58" s="1">
        <f>SUM(OSRRefT22_7x_0)</f>
        <v>450</v>
      </c>
      <c r="U58" s="1"/>
      <c r="V58" s="5">
        <f t="shared" si="33"/>
        <v>6.4935064935064935E-4</v>
      </c>
      <c r="W58" s="1"/>
      <c r="X58" s="1">
        <f t="shared" si="34"/>
        <v>-450</v>
      </c>
      <c r="Y58" s="1"/>
      <c r="Z58" s="5">
        <f t="shared" si="35"/>
        <v>-1</v>
      </c>
    </row>
    <row r="59" spans="1:26" s="24" customFormat="1" hidden="1" outlineLevel="2" x14ac:dyDescent="0.25">
      <c r="A59" s="29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8"/>
        <v>0</v>
      </c>
      <c r="G59" s="2"/>
      <c r="H59" s="7">
        <v>150</v>
      </c>
      <c r="I59" s="2"/>
      <c r="J59" s="6">
        <f t="shared" si="29"/>
        <v>2.7056277056277056E-4</v>
      </c>
      <c r="K59" s="2"/>
      <c r="L59" s="7">
        <f t="shared" si="30"/>
        <v>-150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450</v>
      </c>
      <c r="U59" s="2"/>
      <c r="V59" s="6">
        <f t="shared" si="33"/>
        <v>6.4935064935064935E-4</v>
      </c>
      <c r="W59" s="2"/>
      <c r="X59" s="7">
        <f t="shared" si="34"/>
        <v>-450</v>
      </c>
      <c r="Y59" s="2"/>
      <c r="Z59" s="6">
        <f t="shared" si="35"/>
        <v>-1</v>
      </c>
    </row>
    <row r="60" spans="1:26" s="28" customFormat="1" outlineLevel="1" collapsed="1" x14ac:dyDescent="0.25">
      <c r="A60" s="27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135.26</v>
      </c>
      <c r="E60" s="1"/>
      <c r="F60" s="5">
        <f t="shared" si="28"/>
        <v>1.9707656455130243E-4</v>
      </c>
      <c r="G60" s="1"/>
      <c r="H60" s="1">
        <f>SUM(OSRRefH22_8x_0)</f>
        <v>295</v>
      </c>
      <c r="I60" s="1"/>
      <c r="J60" s="5">
        <f t="shared" si="29"/>
        <v>5.3210678210678208E-4</v>
      </c>
      <c r="K60" s="1"/>
      <c r="L60" s="1">
        <f t="shared" si="30"/>
        <v>-159.74</v>
      </c>
      <c r="M60" s="1"/>
      <c r="N60" s="5">
        <f t="shared" si="31"/>
        <v>-0.5414915254237288</v>
      </c>
      <c r="O60" s="14"/>
      <c r="P60" s="1">
        <f>SUM(OSRRefP22_8x_0)</f>
        <v>827.72</v>
      </c>
      <c r="Q60" s="1"/>
      <c r="R60" s="5">
        <f t="shared" si="32"/>
        <v>8.8035800488106672E-4</v>
      </c>
      <c r="S60" s="1"/>
      <c r="T60" s="1">
        <f>SUM(OSRRefT22_8x_0)</f>
        <v>885</v>
      </c>
      <c r="U60" s="1"/>
      <c r="V60" s="5">
        <f t="shared" si="33"/>
        <v>1.2770562770562772E-3</v>
      </c>
      <c r="W60" s="1"/>
      <c r="X60" s="1">
        <f t="shared" si="34"/>
        <v>-57.279999999999973</v>
      </c>
      <c r="Y60" s="1"/>
      <c r="Z60" s="5">
        <f t="shared" si="35"/>
        <v>-6.4723163841807874E-2</v>
      </c>
    </row>
    <row r="61" spans="1:26" s="24" customFormat="1" hidden="1" outlineLevel="2" x14ac:dyDescent="0.25">
      <c r="A61" s="29"/>
      <c r="B61" s="11" t="str">
        <f>CONCATENATE("          ", "6351", " - ", "EQUIPMENT RENTAL")</f>
        <v xml:space="preserve">          6351 - EQUIPMENT RENTAL</v>
      </c>
      <c r="C61" s="11"/>
      <c r="D61" s="7">
        <v>135.26</v>
      </c>
      <c r="E61" s="2"/>
      <c r="F61" s="6">
        <f t="shared" si="28"/>
        <v>1.9707656455130243E-4</v>
      </c>
      <c r="G61" s="2"/>
      <c r="H61" s="7">
        <v>295</v>
      </c>
      <c r="I61" s="2"/>
      <c r="J61" s="6">
        <f t="shared" si="29"/>
        <v>5.3210678210678208E-4</v>
      </c>
      <c r="K61" s="2"/>
      <c r="L61" s="7">
        <f t="shared" si="30"/>
        <v>-159.74</v>
      </c>
      <c r="M61" s="2"/>
      <c r="N61" s="6">
        <f t="shared" si="31"/>
        <v>-0.5414915254237288</v>
      </c>
      <c r="O61" s="11"/>
      <c r="P61" s="7">
        <v>827.72</v>
      </c>
      <c r="Q61" s="2"/>
      <c r="R61" s="6">
        <f t="shared" si="32"/>
        <v>8.8035800488106672E-4</v>
      </c>
      <c r="S61" s="2"/>
      <c r="T61" s="7">
        <v>885</v>
      </c>
      <c r="U61" s="2"/>
      <c r="V61" s="6">
        <f t="shared" si="33"/>
        <v>1.2770562770562772E-3</v>
      </c>
      <c r="W61" s="2"/>
      <c r="X61" s="7">
        <f t="shared" si="34"/>
        <v>-57.279999999999973</v>
      </c>
      <c r="Y61" s="2"/>
      <c r="Z61" s="6">
        <f t="shared" si="35"/>
        <v>-6.4723163841807874E-2</v>
      </c>
    </row>
    <row r="62" spans="1:26" s="28" customFormat="1" outlineLevel="1" collapsed="1" x14ac:dyDescent="0.25">
      <c r="A62" s="27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0</v>
      </c>
      <c r="E62" s="1"/>
      <c r="F62" s="5">
        <f t="shared" si="28"/>
        <v>0</v>
      </c>
      <c r="G62" s="1"/>
      <c r="H62" s="1">
        <f>SUM(OSRRefH22_9x_0)</f>
        <v>210</v>
      </c>
      <c r="I62" s="1"/>
      <c r="J62" s="5">
        <f t="shared" si="29"/>
        <v>3.7878787878787879E-4</v>
      </c>
      <c r="K62" s="1"/>
      <c r="L62" s="1">
        <f t="shared" si="30"/>
        <v>-210</v>
      </c>
      <c r="M62" s="1"/>
      <c r="N62" s="5">
        <f t="shared" si="31"/>
        <v>-1</v>
      </c>
      <c r="O62" s="14"/>
      <c r="P62" s="1">
        <f>SUM(OSRRefP22_9x_0)</f>
        <v>1557.93</v>
      </c>
      <c r="Q62" s="1"/>
      <c r="R62" s="5">
        <f t="shared" si="32"/>
        <v>1.657004961272363E-3</v>
      </c>
      <c r="S62" s="1"/>
      <c r="T62" s="1">
        <f>SUM(OSRRefT22_9x_0)</f>
        <v>2140</v>
      </c>
      <c r="U62" s="1"/>
      <c r="V62" s="5">
        <f t="shared" si="33"/>
        <v>3.088023088023088E-3</v>
      </c>
      <c r="W62" s="1"/>
      <c r="X62" s="1">
        <f t="shared" si="34"/>
        <v>-582.06999999999994</v>
      </c>
      <c r="Y62" s="1"/>
      <c r="Z62" s="5">
        <f t="shared" si="35"/>
        <v>-0.27199532710280372</v>
      </c>
    </row>
    <row r="63" spans="1:26" s="24" customFormat="1" hidden="1" outlineLevel="2" x14ac:dyDescent="0.25">
      <c r="A63" s="29"/>
      <c r="B63" s="11" t="str">
        <f>CONCATENATE("          ", "6279", " - ", "GENERAL EXPENSE")</f>
        <v xml:space="preserve">          6279 - GENERAL EXPENSE</v>
      </c>
      <c r="C63" s="11"/>
      <c r="D63" s="7"/>
      <c r="E63" s="2"/>
      <c r="F63" s="6">
        <f t="shared" si="28"/>
        <v>0</v>
      </c>
      <c r="G63" s="2"/>
      <c r="H63" s="7">
        <v>210</v>
      </c>
      <c r="I63" s="2"/>
      <c r="J63" s="6">
        <f t="shared" si="29"/>
        <v>3.7878787878787879E-4</v>
      </c>
      <c r="K63" s="2"/>
      <c r="L63" s="7">
        <f t="shared" si="30"/>
        <v>-210</v>
      </c>
      <c r="M63" s="2"/>
      <c r="N63" s="6">
        <f t="shared" si="31"/>
        <v>-1</v>
      </c>
      <c r="O63" s="11"/>
      <c r="P63" s="7">
        <v>1557.93</v>
      </c>
      <c r="Q63" s="2"/>
      <c r="R63" s="6">
        <f t="shared" si="32"/>
        <v>1.657004961272363E-3</v>
      </c>
      <c r="S63" s="2"/>
      <c r="T63" s="7">
        <v>2140</v>
      </c>
      <c r="U63" s="2"/>
      <c r="V63" s="6">
        <f t="shared" si="33"/>
        <v>3.088023088023088E-3</v>
      </c>
      <c r="W63" s="2"/>
      <c r="X63" s="7">
        <f t="shared" si="34"/>
        <v>-582.06999999999994</v>
      </c>
      <c r="Y63" s="2"/>
      <c r="Z63" s="6">
        <f t="shared" si="35"/>
        <v>-0.27199532710280372</v>
      </c>
    </row>
    <row r="64" spans="1:26" s="28" customFormat="1" outlineLevel="1" collapsed="1" x14ac:dyDescent="0.25">
      <c r="A64" s="27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51101.53</v>
      </c>
      <c r="E64" s="1"/>
      <c r="F64" s="5">
        <f t="shared" si="28"/>
        <v>7.4455966107609919E-2</v>
      </c>
      <c r="G64" s="1"/>
      <c r="H64" s="1">
        <f>SUM(OSRRefH22_10x_0)</f>
        <v>44352</v>
      </c>
      <c r="I64" s="1"/>
      <c r="J64" s="5">
        <f t="shared" si="29"/>
        <v>0.08</v>
      </c>
      <c r="K64" s="1"/>
      <c r="L64" s="1">
        <f t="shared" si="30"/>
        <v>6749.5299999999988</v>
      </c>
      <c r="M64" s="1"/>
      <c r="N64" s="5">
        <f t="shared" si="31"/>
        <v>0.15218096139971138</v>
      </c>
      <c r="O64" s="14"/>
      <c r="P64" s="1">
        <f>SUM(OSRRefP22_10x_0)</f>
        <v>71294.92</v>
      </c>
      <c r="Q64" s="1"/>
      <c r="R64" s="5">
        <f t="shared" si="32"/>
        <v>7.5828847350982526E-2</v>
      </c>
      <c r="S64" s="1"/>
      <c r="T64" s="1">
        <f>SUM(OSRRefT22_10x_0)</f>
        <v>55440</v>
      </c>
      <c r="U64" s="1"/>
      <c r="V64" s="5">
        <f t="shared" si="33"/>
        <v>0.08</v>
      </c>
      <c r="W64" s="1"/>
      <c r="X64" s="1">
        <f t="shared" si="34"/>
        <v>15854.919999999998</v>
      </c>
      <c r="Y64" s="1"/>
      <c r="Z64" s="5">
        <f t="shared" si="35"/>
        <v>0.28598340548340545</v>
      </c>
    </row>
    <row r="65" spans="1:26" s="24" customFormat="1" hidden="1" outlineLevel="2" x14ac:dyDescent="0.25">
      <c r="A65" s="29"/>
      <c r="B65" s="11" t="str">
        <f>CONCATENATE("          ", "6387", " - ", "COMMISSION DUE HOUSING")</f>
        <v xml:space="preserve">          6387 - COMMISSION DUE HOUSING</v>
      </c>
      <c r="C65" s="11"/>
      <c r="D65" s="7">
        <v>51101.53</v>
      </c>
      <c r="E65" s="2"/>
      <c r="F65" s="6">
        <f t="shared" si="28"/>
        <v>7.4455966107609919E-2</v>
      </c>
      <c r="G65" s="2"/>
      <c r="H65" s="7">
        <v>44352</v>
      </c>
      <c r="I65" s="2"/>
      <c r="J65" s="6">
        <f t="shared" si="29"/>
        <v>0.08</v>
      </c>
      <c r="K65" s="2"/>
      <c r="L65" s="7">
        <f t="shared" si="30"/>
        <v>6749.5299999999988</v>
      </c>
      <c r="M65" s="2"/>
      <c r="N65" s="6">
        <f t="shared" si="31"/>
        <v>0.15218096139971138</v>
      </c>
      <c r="O65" s="11"/>
      <c r="P65" s="7">
        <v>71294.92</v>
      </c>
      <c r="Q65" s="2"/>
      <c r="R65" s="6">
        <f t="shared" si="32"/>
        <v>7.5828847350982526E-2</v>
      </c>
      <c r="S65" s="2"/>
      <c r="T65" s="7">
        <v>55440</v>
      </c>
      <c r="U65" s="2"/>
      <c r="V65" s="6">
        <f t="shared" si="33"/>
        <v>0.08</v>
      </c>
      <c r="W65" s="2"/>
      <c r="X65" s="7">
        <f t="shared" si="34"/>
        <v>15854.919999999998</v>
      </c>
      <c r="Y65" s="2"/>
      <c r="Z65" s="6">
        <f t="shared" si="35"/>
        <v>0.28598340548340545</v>
      </c>
    </row>
    <row r="66" spans="1:26" s="28" customFormat="1" outlineLevel="1" collapsed="1" x14ac:dyDescent="0.25">
      <c r="A66" s="27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83.83</v>
      </c>
      <c r="E66" s="1"/>
      <c r="F66" s="5">
        <f t="shared" si="28"/>
        <v>1.2214201098873048E-4</v>
      </c>
      <c r="G66" s="1"/>
      <c r="H66" s="1">
        <f>SUM(OSRRefH22_11x_0)</f>
        <v>2200</v>
      </c>
      <c r="I66" s="1"/>
      <c r="J66" s="5">
        <f t="shared" si="29"/>
        <v>3.968253968253968E-3</v>
      </c>
      <c r="K66" s="1"/>
      <c r="L66" s="1">
        <f t="shared" si="30"/>
        <v>-2116.17</v>
      </c>
      <c r="M66" s="1"/>
      <c r="N66" s="5">
        <f t="shared" si="31"/>
        <v>-0.96189545454545455</v>
      </c>
      <c r="O66" s="14"/>
      <c r="P66" s="1">
        <f>SUM(OSRRefP22_11x_0)</f>
        <v>755.13</v>
      </c>
      <c r="Q66" s="1"/>
      <c r="R66" s="5">
        <f t="shared" si="32"/>
        <v>8.0315171824510694E-4</v>
      </c>
      <c r="S66" s="1"/>
      <c r="T66" s="1">
        <f>SUM(OSRRefT22_11x_0)</f>
        <v>2600</v>
      </c>
      <c r="U66" s="1"/>
      <c r="V66" s="5">
        <f t="shared" si="33"/>
        <v>3.7518037518037518E-3</v>
      </c>
      <c r="W66" s="1"/>
      <c r="X66" s="1">
        <f t="shared" si="34"/>
        <v>-1844.87</v>
      </c>
      <c r="Y66" s="1"/>
      <c r="Z66" s="5">
        <f t="shared" si="35"/>
        <v>-0.70956538461538454</v>
      </c>
    </row>
    <row r="67" spans="1:26" s="24" customFormat="1" hidden="1" outlineLevel="2" x14ac:dyDescent="0.25">
      <c r="A67" s="29"/>
      <c r="B67" s="11" t="str">
        <f>CONCATENATE("          ", "6373", " - ", "MAINTENANCE CONTRACTS")</f>
        <v xml:space="preserve">          6373 - MAINTENANCE CONTRACTS</v>
      </c>
      <c r="C67" s="11"/>
      <c r="D67" s="7">
        <v>83.83</v>
      </c>
      <c r="E67" s="2"/>
      <c r="F67" s="6">
        <f t="shared" si="28"/>
        <v>1.2214201098873048E-4</v>
      </c>
      <c r="G67" s="2"/>
      <c r="H67" s="7">
        <v>2000</v>
      </c>
      <c r="I67" s="2"/>
      <c r="J67" s="6">
        <f t="shared" si="29"/>
        <v>3.6075036075036075E-3</v>
      </c>
      <c r="K67" s="2"/>
      <c r="L67" s="7">
        <f t="shared" si="30"/>
        <v>-1916.17</v>
      </c>
      <c r="M67" s="2"/>
      <c r="N67" s="6">
        <f t="shared" si="31"/>
        <v>-0.95808500000000008</v>
      </c>
      <c r="O67" s="11"/>
      <c r="P67" s="7">
        <v>97.83</v>
      </c>
      <c r="Q67" s="2"/>
      <c r="R67" s="6">
        <f t="shared" si="32"/>
        <v>1.0405139856172952E-4</v>
      </c>
      <c r="S67" s="2"/>
      <c r="T67" s="7">
        <v>2000</v>
      </c>
      <c r="U67" s="2"/>
      <c r="V67" s="6">
        <f t="shared" si="33"/>
        <v>2.886002886002886E-3</v>
      </c>
      <c r="W67" s="2"/>
      <c r="X67" s="7">
        <f t="shared" si="34"/>
        <v>-1902.17</v>
      </c>
      <c r="Y67" s="2"/>
      <c r="Z67" s="6">
        <f t="shared" si="35"/>
        <v>-0.95108500000000007</v>
      </c>
    </row>
    <row r="68" spans="1:26" s="24" customFormat="1" hidden="1" outlineLevel="2" x14ac:dyDescent="0.25">
      <c r="A68" s="29"/>
      <c r="B68" s="11" t="str">
        <f>CONCATENATE("          ", "6375", " - ", "OUTSIDE REPAIRS &amp; MAINTENANCE")</f>
        <v xml:space="preserve">          6375 - OUTSIDE REPAIRS &amp; MAINTENANCE</v>
      </c>
      <c r="C68" s="11"/>
      <c r="D68" s="7"/>
      <c r="E68" s="2"/>
      <c r="F68" s="6">
        <f t="shared" si="28"/>
        <v>0</v>
      </c>
      <c r="G68" s="2"/>
      <c r="H68" s="7">
        <v>200</v>
      </c>
      <c r="I68" s="2"/>
      <c r="J68" s="6">
        <f t="shared" si="29"/>
        <v>3.6075036075036075E-4</v>
      </c>
      <c r="K68" s="2"/>
      <c r="L68" s="7">
        <f t="shared" si="30"/>
        <v>-200</v>
      </c>
      <c r="M68" s="2"/>
      <c r="N68" s="6">
        <f t="shared" si="31"/>
        <v>-1</v>
      </c>
      <c r="O68" s="11"/>
      <c r="P68" s="7">
        <v>657.3</v>
      </c>
      <c r="Q68" s="2"/>
      <c r="R68" s="6">
        <f t="shared" si="32"/>
        <v>6.9910031968337734E-4</v>
      </c>
      <c r="S68" s="2"/>
      <c r="T68" s="7">
        <v>600</v>
      </c>
      <c r="U68" s="2"/>
      <c r="V68" s="6">
        <f t="shared" si="33"/>
        <v>8.658008658008658E-4</v>
      </c>
      <c r="W68" s="2"/>
      <c r="X68" s="7">
        <f t="shared" si="34"/>
        <v>57.299999999999955</v>
      </c>
      <c r="Y68" s="2"/>
      <c r="Z68" s="6">
        <f t="shared" si="35"/>
        <v>9.5499999999999918E-2</v>
      </c>
    </row>
    <row r="69" spans="1:26" s="28" customFormat="1" outlineLevel="1" collapsed="1" x14ac:dyDescent="0.25">
      <c r="A69" s="27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SUM(OSRRefD22_12x_0)</f>
        <v>6297.38</v>
      </c>
      <c r="E69" s="1"/>
      <c r="F69" s="5">
        <f t="shared" ref="F69:F73" si="36">IF(D$12=0,0,D69/D$12)</f>
        <v>9.1754104397019157E-3</v>
      </c>
      <c r="G69" s="1"/>
      <c r="H69" s="1">
        <f>SUM(OSRRefH22_12x_0)</f>
        <v>7150</v>
      </c>
      <c r="I69" s="1"/>
      <c r="J69" s="5">
        <f t="shared" ref="J69:J73" si="37">IF(H$12=0,0,H69/H$12)</f>
        <v>1.2896825396825396E-2</v>
      </c>
      <c r="K69" s="1"/>
      <c r="L69" s="1">
        <f t="shared" ref="L69:L73" si="38">+D69-H69</f>
        <v>-852.61999999999989</v>
      </c>
      <c r="M69" s="1"/>
      <c r="N69" s="5">
        <f t="shared" ref="N69:N73" si="39">IF(H69=0,0,L69/H69)</f>
        <v>-0.11924755244755243</v>
      </c>
      <c r="O69" s="14"/>
      <c r="P69" s="1">
        <f>SUM(OSRRefP22_12x_0)</f>
        <v>18201.330000000002</v>
      </c>
      <c r="Q69" s="1"/>
      <c r="R69" s="5">
        <f t="shared" ref="R69:R73" si="40">IF(P$12=0,0,P69/P$12)</f>
        <v>1.9358824922657308E-2</v>
      </c>
      <c r="S69" s="1"/>
      <c r="T69" s="1">
        <f>SUM(OSRRefT22_12x_0)</f>
        <v>21450</v>
      </c>
      <c r="U69" s="1"/>
      <c r="V69" s="5">
        <f t="shared" ref="V69:V73" si="41">IF(T$12=0,0,T69/T$12)</f>
        <v>3.0952380952380953E-2</v>
      </c>
      <c r="W69" s="1"/>
      <c r="X69" s="1">
        <f t="shared" ref="X69:X73" si="42">+P69-T69</f>
        <v>-3248.6699999999983</v>
      </c>
      <c r="Y69" s="1"/>
      <c r="Z69" s="5">
        <f t="shared" ref="Z69:Z73" si="43">IF(T69=0,0,X69/T69)</f>
        <v>-0.15145314685314676</v>
      </c>
    </row>
    <row r="70" spans="1:26" s="24" customFormat="1" hidden="1" outlineLevel="2" x14ac:dyDescent="0.25">
      <c r="A70" s="29"/>
      <c r="B70" s="11" t="str">
        <f>CONCATENATE("          ", "6282", " - ", "JANITORIAL/EXTERMINATOR EXPENS")</f>
        <v xml:space="preserve">          6282 - JANITORIAL/EXTERMINATOR EXPENS</v>
      </c>
      <c r="C70" s="11"/>
      <c r="D70" s="7">
        <v>459.25</v>
      </c>
      <c r="E70" s="2"/>
      <c r="F70" s="6">
        <f t="shared" si="36"/>
        <v>6.6913656860997819E-4</v>
      </c>
      <c r="G70" s="2"/>
      <c r="H70" s="7">
        <v>450</v>
      </c>
      <c r="I70" s="2"/>
      <c r="J70" s="6">
        <f t="shared" si="37"/>
        <v>8.1168831168831174E-4</v>
      </c>
      <c r="K70" s="2"/>
      <c r="L70" s="7">
        <f t="shared" si="38"/>
        <v>9.25</v>
      </c>
      <c r="M70" s="2"/>
      <c r="N70" s="6">
        <f t="shared" si="39"/>
        <v>2.0555555555555556E-2</v>
      </c>
      <c r="O70" s="11"/>
      <c r="P70" s="7">
        <v>1301.93</v>
      </c>
      <c r="Q70" s="2"/>
      <c r="R70" s="6">
        <f t="shared" si="40"/>
        <v>1.3847249037051265E-3</v>
      </c>
      <c r="S70" s="2"/>
      <c r="T70" s="7">
        <v>1350</v>
      </c>
      <c r="U70" s="2"/>
      <c r="V70" s="6">
        <f t="shared" si="41"/>
        <v>1.9480519480519481E-3</v>
      </c>
      <c r="W70" s="2"/>
      <c r="X70" s="7">
        <f t="shared" si="42"/>
        <v>-48.069999999999936</v>
      </c>
      <c r="Y70" s="2"/>
      <c r="Z70" s="6">
        <f t="shared" si="43"/>
        <v>-3.5607407407407358E-2</v>
      </c>
    </row>
    <row r="71" spans="1:26" s="24" customFormat="1" hidden="1" outlineLevel="2" x14ac:dyDescent="0.25">
      <c r="A71" s="29"/>
      <c r="B71" s="11" t="str">
        <f>CONCATENATE("          ", "6284", " - ", "TRASH REMOVAL EXPENSE")</f>
        <v xml:space="preserve">          6284 - TRASH REMOVAL EXPENSE</v>
      </c>
      <c r="C71" s="11"/>
      <c r="D71" s="7"/>
      <c r="E71" s="2"/>
      <c r="F71" s="6">
        <f t="shared" si="36"/>
        <v>0</v>
      </c>
      <c r="G71" s="2"/>
      <c r="H71" s="7">
        <v>50</v>
      </c>
      <c r="I71" s="2"/>
      <c r="J71" s="6">
        <f t="shared" si="37"/>
        <v>9.0187590187590188E-5</v>
      </c>
      <c r="K71" s="2"/>
      <c r="L71" s="7">
        <f t="shared" si="38"/>
        <v>-50</v>
      </c>
      <c r="M71" s="2"/>
      <c r="N71" s="6">
        <f t="shared" si="39"/>
        <v>-1</v>
      </c>
      <c r="O71" s="11"/>
      <c r="P71" s="7"/>
      <c r="Q71" s="2"/>
      <c r="R71" s="6">
        <f t="shared" si="40"/>
        <v>0</v>
      </c>
      <c r="S71" s="2"/>
      <c r="T71" s="7">
        <v>150</v>
      </c>
      <c r="U71" s="2"/>
      <c r="V71" s="6">
        <f t="shared" si="41"/>
        <v>2.1645021645021645E-4</v>
      </c>
      <c r="W71" s="2"/>
      <c r="X71" s="7">
        <f t="shared" si="42"/>
        <v>-150</v>
      </c>
      <c r="Y71" s="2"/>
      <c r="Z71" s="6">
        <f t="shared" si="43"/>
        <v>-1</v>
      </c>
    </row>
    <row r="72" spans="1:26" s="24" customFormat="1" hidden="1" outlineLevel="2" x14ac:dyDescent="0.25">
      <c r="A72" s="29"/>
      <c r="B72" s="11" t="str">
        <f>CONCATENATE("          ", "6285", " - ", "JANITORIAL SERVICES")</f>
        <v xml:space="preserve">          6285 - JANITORIAL SERVICES</v>
      </c>
      <c r="C72" s="11"/>
      <c r="D72" s="7">
        <v>4668.33</v>
      </c>
      <c r="E72" s="2"/>
      <c r="F72" s="6">
        <f t="shared" si="36"/>
        <v>6.8018515347610655E-3</v>
      </c>
      <c r="G72" s="2"/>
      <c r="H72" s="7">
        <v>4983</v>
      </c>
      <c r="I72" s="2"/>
      <c r="J72" s="6">
        <f t="shared" si="37"/>
        <v>8.9880952380952377E-3</v>
      </c>
      <c r="K72" s="2"/>
      <c r="L72" s="7">
        <f t="shared" si="38"/>
        <v>-314.67000000000007</v>
      </c>
      <c r="M72" s="2"/>
      <c r="N72" s="6">
        <f t="shared" si="39"/>
        <v>-6.3148705599036736E-2</v>
      </c>
      <c r="O72" s="11"/>
      <c r="P72" s="7">
        <v>13604.99</v>
      </c>
      <c r="Q72" s="2"/>
      <c r="R72" s="6">
        <f t="shared" si="40"/>
        <v>1.4470185392194055E-2</v>
      </c>
      <c r="S72" s="2"/>
      <c r="T72" s="7">
        <v>14949</v>
      </c>
      <c r="U72" s="2"/>
      <c r="V72" s="6">
        <f t="shared" si="41"/>
        <v>2.1571428571428571E-2</v>
      </c>
      <c r="W72" s="2"/>
      <c r="X72" s="7">
        <f t="shared" si="42"/>
        <v>-1344.0100000000002</v>
      </c>
      <c r="Y72" s="2"/>
      <c r="Z72" s="6">
        <f t="shared" si="43"/>
        <v>-8.9906348250719123E-2</v>
      </c>
    </row>
    <row r="73" spans="1:26" s="24" customFormat="1" hidden="1" outlineLevel="2" x14ac:dyDescent="0.25">
      <c r="A73" s="29"/>
      <c r="B73" s="11" t="str">
        <f>CONCATENATE("          ", "6286", " - ", "LAUNDRY EXPENSE")</f>
        <v xml:space="preserve">          6286 - LAUNDRY EXPENSE</v>
      </c>
      <c r="C73" s="11"/>
      <c r="D73" s="7">
        <v>1169.8</v>
      </c>
      <c r="E73" s="2"/>
      <c r="F73" s="6">
        <f t="shared" si="36"/>
        <v>1.7044223363308708E-3</v>
      </c>
      <c r="G73" s="2"/>
      <c r="H73" s="7">
        <v>1667</v>
      </c>
      <c r="I73" s="2"/>
      <c r="J73" s="6">
        <f t="shared" si="37"/>
        <v>3.0068542568542568E-3</v>
      </c>
      <c r="K73" s="2"/>
      <c r="L73" s="7">
        <f t="shared" si="38"/>
        <v>-497.20000000000005</v>
      </c>
      <c r="M73" s="2"/>
      <c r="N73" s="6">
        <f t="shared" si="39"/>
        <v>-0.29826034793041395</v>
      </c>
      <c r="O73" s="11"/>
      <c r="P73" s="7">
        <v>3294.41</v>
      </c>
      <c r="Q73" s="2"/>
      <c r="R73" s="6">
        <f t="shared" si="40"/>
        <v>3.5039146267581245E-3</v>
      </c>
      <c r="S73" s="2"/>
      <c r="T73" s="7">
        <v>5001</v>
      </c>
      <c r="U73" s="2"/>
      <c r="V73" s="6">
        <f t="shared" si="41"/>
        <v>7.2164502164502164E-3</v>
      </c>
      <c r="W73" s="2"/>
      <c r="X73" s="7">
        <f t="shared" si="42"/>
        <v>-1706.5900000000001</v>
      </c>
      <c r="Y73" s="2"/>
      <c r="Z73" s="6">
        <f t="shared" si="43"/>
        <v>-0.34124975004999003</v>
      </c>
    </row>
    <row r="74" spans="1:26" s="28" customFormat="1" outlineLevel="1" collapsed="1" x14ac:dyDescent="0.25">
      <c r="A74" s="27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SUM(OSRRefD22_13x_0)</f>
        <v>20098.71</v>
      </c>
      <c r="E74" s="1"/>
      <c r="F74" s="5">
        <f t="shared" ref="F74:F81" si="44">IF(D$12=0,0,D74/D$12)</f>
        <v>2.928422829153414E-2</v>
      </c>
      <c r="G74" s="1"/>
      <c r="H74" s="1">
        <f>SUM(OSRRefH22_13x_0)</f>
        <v>13066</v>
      </c>
      <c r="I74" s="1"/>
      <c r="J74" s="5">
        <f t="shared" ref="J74:J81" si="45">IF(H$12=0,0,H74/H$12)</f>
        <v>2.3567821067821067E-2</v>
      </c>
      <c r="K74" s="1"/>
      <c r="L74" s="1">
        <f t="shared" ref="L74:L81" si="46">+D74-H74</f>
        <v>7032.7099999999991</v>
      </c>
      <c r="M74" s="1"/>
      <c r="N74" s="5">
        <f t="shared" ref="N74:N81" si="47">IF(H74=0,0,L74/H74)</f>
        <v>0.53824506352364909</v>
      </c>
      <c r="O74" s="14"/>
      <c r="P74" s="1">
        <f>SUM(OSRRefP22_13x_0)</f>
        <v>34411.119999999995</v>
      </c>
      <c r="Q74" s="1"/>
      <c r="R74" s="5">
        <f t="shared" ref="R74:R81" si="48">IF(P$12=0,0,P74/P$12)</f>
        <v>3.6599459900597993E-2</v>
      </c>
      <c r="S74" s="1"/>
      <c r="T74" s="1">
        <f>SUM(OSRRefT22_13x_0)</f>
        <v>39198</v>
      </c>
      <c r="U74" s="1"/>
      <c r="V74" s="5">
        <f t="shared" ref="V74:V81" si="49">IF(T$12=0,0,T74/T$12)</f>
        <v>5.6562770562770565E-2</v>
      </c>
      <c r="W74" s="1"/>
      <c r="X74" s="1">
        <f t="shared" ref="X74:X81" si="50">+P74-T74</f>
        <v>-4786.8800000000047</v>
      </c>
      <c r="Y74" s="1"/>
      <c r="Z74" s="5">
        <f t="shared" ref="Z74:Z81" si="51">IF(T74=0,0,X74/T74)</f>
        <v>-0.12212051635287527</v>
      </c>
    </row>
    <row r="75" spans="1:26" s="24" customFormat="1" hidden="1" outlineLevel="2" x14ac:dyDescent="0.25">
      <c r="A75" s="29"/>
      <c r="B75" s="11" t="str">
        <f>CONCATENATE("          ", "6237", " - ", "JANITORIAL SUPPLIES")</f>
        <v xml:space="preserve">          6237 - JANITORIAL SUPPLIES</v>
      </c>
      <c r="C75" s="11"/>
      <c r="D75" s="7">
        <v>3997.04</v>
      </c>
      <c r="E75" s="2"/>
      <c r="F75" s="6">
        <f t="shared" si="44"/>
        <v>5.8237683836621168E-3</v>
      </c>
      <c r="G75" s="2"/>
      <c r="H75" s="7">
        <v>3750</v>
      </c>
      <c r="I75" s="2"/>
      <c r="J75" s="6">
        <f t="shared" si="45"/>
        <v>6.764069264069264E-3</v>
      </c>
      <c r="K75" s="2"/>
      <c r="L75" s="7">
        <f t="shared" si="46"/>
        <v>247.03999999999996</v>
      </c>
      <c r="M75" s="2"/>
      <c r="N75" s="6">
        <f t="shared" si="47"/>
        <v>6.5877333333333329E-2</v>
      </c>
      <c r="O75" s="11"/>
      <c r="P75" s="7">
        <v>7698.99</v>
      </c>
      <c r="Q75" s="2"/>
      <c r="R75" s="6">
        <f t="shared" si="48"/>
        <v>8.1885993765999174E-3</v>
      </c>
      <c r="S75" s="2"/>
      <c r="T75" s="7">
        <v>11250</v>
      </c>
      <c r="U75" s="2"/>
      <c r="V75" s="6">
        <f t="shared" si="49"/>
        <v>1.6233766233766232E-2</v>
      </c>
      <c r="W75" s="2"/>
      <c r="X75" s="7">
        <f t="shared" si="50"/>
        <v>-3551.01</v>
      </c>
      <c r="Y75" s="2"/>
      <c r="Z75" s="6">
        <f t="shared" si="51"/>
        <v>-0.31564533333333333</v>
      </c>
    </row>
    <row r="76" spans="1:26" s="24" customFormat="1" hidden="1" outlineLevel="2" x14ac:dyDescent="0.25">
      <c r="A76" s="29"/>
      <c r="B76" s="11" t="str">
        <f>CONCATENATE("          ", "6239", " - ", "KITCHEN SUPPLIES")</f>
        <v xml:space="preserve">          6239 - KITCHEN SUPPLIES</v>
      </c>
      <c r="C76" s="11"/>
      <c r="D76" s="7">
        <v>3028.13</v>
      </c>
      <c r="E76" s="2"/>
      <c r="F76" s="6">
        <f t="shared" si="44"/>
        <v>4.4120468535763383E-3</v>
      </c>
      <c r="G76" s="2"/>
      <c r="H76" s="7">
        <v>1800</v>
      </c>
      <c r="I76" s="2"/>
      <c r="J76" s="6">
        <f t="shared" si="45"/>
        <v>3.246753246753247E-3</v>
      </c>
      <c r="K76" s="2"/>
      <c r="L76" s="7">
        <f t="shared" si="46"/>
        <v>1228.1300000000001</v>
      </c>
      <c r="M76" s="2"/>
      <c r="N76" s="6">
        <f t="shared" si="47"/>
        <v>0.68229444444444454</v>
      </c>
      <c r="O76" s="11"/>
      <c r="P76" s="7">
        <v>4044.94</v>
      </c>
      <c r="Q76" s="2"/>
      <c r="R76" s="6">
        <f t="shared" si="48"/>
        <v>4.3021738127188205E-3</v>
      </c>
      <c r="S76" s="2"/>
      <c r="T76" s="7">
        <v>5400</v>
      </c>
      <c r="U76" s="2"/>
      <c r="V76" s="6">
        <f t="shared" si="49"/>
        <v>7.7922077922077922E-3</v>
      </c>
      <c r="W76" s="2"/>
      <c r="X76" s="7">
        <f t="shared" si="50"/>
        <v>-1355.06</v>
      </c>
      <c r="Y76" s="2"/>
      <c r="Z76" s="6">
        <f t="shared" si="51"/>
        <v>-0.25093703703703701</v>
      </c>
    </row>
    <row r="77" spans="1:26" s="24" customFormat="1" hidden="1" outlineLevel="2" x14ac:dyDescent="0.25">
      <c r="A77" s="29"/>
      <c r="B77" s="11" t="str">
        <f>CONCATENATE("          ", "6241", " - ", "OFFICE EXPENSE")</f>
        <v xml:space="preserve">          6241 - OFFICE EXPENSE</v>
      </c>
      <c r="C77" s="11"/>
      <c r="D77" s="7">
        <v>329.73</v>
      </c>
      <c r="E77" s="2"/>
      <c r="F77" s="6">
        <f t="shared" si="44"/>
        <v>4.8042330052861865E-4</v>
      </c>
      <c r="G77" s="2"/>
      <c r="H77" s="7">
        <v>820</v>
      </c>
      <c r="I77" s="2"/>
      <c r="J77" s="6">
        <f t="shared" si="45"/>
        <v>1.4790764790764792E-3</v>
      </c>
      <c r="K77" s="2"/>
      <c r="L77" s="7">
        <f t="shared" si="46"/>
        <v>-490.27</v>
      </c>
      <c r="M77" s="2"/>
      <c r="N77" s="6">
        <f t="shared" si="47"/>
        <v>-0.59789024390243906</v>
      </c>
      <c r="O77" s="11"/>
      <c r="P77" s="7">
        <v>1698.81</v>
      </c>
      <c r="Q77" s="2"/>
      <c r="R77" s="6">
        <f t="shared" si="48"/>
        <v>1.8068440804523329E-3</v>
      </c>
      <c r="S77" s="2"/>
      <c r="T77" s="7">
        <v>2460</v>
      </c>
      <c r="U77" s="2"/>
      <c r="V77" s="6">
        <f t="shared" si="49"/>
        <v>3.5497835497835498E-3</v>
      </c>
      <c r="W77" s="2"/>
      <c r="X77" s="7">
        <f t="shared" si="50"/>
        <v>-761.19</v>
      </c>
      <c r="Y77" s="2"/>
      <c r="Z77" s="6">
        <f t="shared" si="51"/>
        <v>-0.30942682926829268</v>
      </c>
    </row>
    <row r="78" spans="1:26" s="24" customFormat="1" hidden="1" outlineLevel="2" x14ac:dyDescent="0.25">
      <c r="A78" s="29"/>
      <c r="B78" s="11" t="str">
        <f>CONCATENATE("          ", "6243", " - ", "PAPER SUPPLIES")</f>
        <v xml:space="preserve">          6243 - PAPER SUPPLIES</v>
      </c>
      <c r="C78" s="11"/>
      <c r="D78" s="7">
        <v>12616.47</v>
      </c>
      <c r="E78" s="2"/>
      <c r="F78" s="6">
        <f t="shared" si="44"/>
        <v>1.8382452789919936E-2</v>
      </c>
      <c r="G78" s="2"/>
      <c r="H78" s="7">
        <v>6300</v>
      </c>
      <c r="I78" s="2"/>
      <c r="J78" s="6">
        <f t="shared" si="45"/>
        <v>1.1363636363636364E-2</v>
      </c>
      <c r="K78" s="2"/>
      <c r="L78" s="7">
        <f t="shared" si="46"/>
        <v>6316.4699999999993</v>
      </c>
      <c r="M78" s="2"/>
      <c r="N78" s="6">
        <f t="shared" si="47"/>
        <v>1.0026142857142857</v>
      </c>
      <c r="O78" s="11"/>
      <c r="P78" s="7">
        <v>20841.04</v>
      </c>
      <c r="Q78" s="2"/>
      <c r="R78" s="6">
        <f t="shared" si="48"/>
        <v>2.2166404574066722E-2</v>
      </c>
      <c r="S78" s="2"/>
      <c r="T78" s="7">
        <v>18900</v>
      </c>
      <c r="U78" s="2"/>
      <c r="V78" s="6">
        <f t="shared" si="49"/>
        <v>2.7272727272727271E-2</v>
      </c>
      <c r="W78" s="2"/>
      <c r="X78" s="7">
        <f t="shared" si="50"/>
        <v>1941.0400000000009</v>
      </c>
      <c r="Y78" s="2"/>
      <c r="Z78" s="6">
        <f t="shared" si="51"/>
        <v>0.10270052910052915</v>
      </c>
    </row>
    <row r="79" spans="1:26" s="24" customFormat="1" hidden="1" outlineLevel="2" x14ac:dyDescent="0.25">
      <c r="A79" s="29"/>
      <c r="B79" s="11" t="str">
        <f>CONCATENATE("          ", "6244", " - ", "SAFETY SUPPLY EXPENSE")</f>
        <v xml:space="preserve">          6244 - SAFETY SUPPLY EXPENSE</v>
      </c>
      <c r="C79" s="11"/>
      <c r="D79" s="7"/>
      <c r="E79" s="2"/>
      <c r="F79" s="6">
        <f t="shared" si="44"/>
        <v>0</v>
      </c>
      <c r="G79" s="2"/>
      <c r="H79" s="7">
        <v>200</v>
      </c>
      <c r="I79" s="2"/>
      <c r="J79" s="6">
        <f t="shared" si="45"/>
        <v>3.6075036075036075E-4</v>
      </c>
      <c r="K79" s="2"/>
      <c r="L79" s="7">
        <f t="shared" si="46"/>
        <v>-200</v>
      </c>
      <c r="M79" s="2"/>
      <c r="N79" s="6">
        <f t="shared" si="47"/>
        <v>-1</v>
      </c>
      <c r="O79" s="11"/>
      <c r="P79" s="7"/>
      <c r="Q79" s="2"/>
      <c r="R79" s="6">
        <f t="shared" si="48"/>
        <v>0</v>
      </c>
      <c r="S79" s="2"/>
      <c r="T79" s="7">
        <v>600</v>
      </c>
      <c r="U79" s="2"/>
      <c r="V79" s="6">
        <f t="shared" si="49"/>
        <v>8.658008658008658E-4</v>
      </c>
      <c r="W79" s="2"/>
      <c r="X79" s="7">
        <f t="shared" si="50"/>
        <v>-600</v>
      </c>
      <c r="Y79" s="2"/>
      <c r="Z79" s="6">
        <f t="shared" si="51"/>
        <v>-1</v>
      </c>
    </row>
    <row r="80" spans="1:26" s="24" customFormat="1" hidden="1" outlineLevel="2" x14ac:dyDescent="0.25">
      <c r="A80" s="29"/>
      <c r="B80" s="11" t="str">
        <f>CONCATENATE("          ", "6247", " - ", "STORE SUPPLIES")</f>
        <v xml:space="preserve">          6247 - STORE SUPPLIES</v>
      </c>
      <c r="C80" s="11"/>
      <c r="D80" s="7">
        <v>127.34</v>
      </c>
      <c r="E80" s="2"/>
      <c r="F80" s="6">
        <f t="shared" si="44"/>
        <v>1.8553696384713037E-4</v>
      </c>
      <c r="G80" s="2"/>
      <c r="H80" s="7"/>
      <c r="I80" s="2"/>
      <c r="J80" s="6">
        <f t="shared" si="45"/>
        <v>0</v>
      </c>
      <c r="K80" s="2"/>
      <c r="L80" s="7">
        <f t="shared" si="46"/>
        <v>127.34</v>
      </c>
      <c r="M80" s="2"/>
      <c r="N80" s="6">
        <f t="shared" si="47"/>
        <v>0</v>
      </c>
      <c r="O80" s="11"/>
      <c r="P80" s="7">
        <v>127.34</v>
      </c>
      <c r="Q80" s="2"/>
      <c r="R80" s="6">
        <f t="shared" si="48"/>
        <v>1.3543805676020278E-4</v>
      </c>
      <c r="S80" s="2"/>
      <c r="T80" s="7"/>
      <c r="U80" s="2"/>
      <c r="V80" s="6">
        <f t="shared" si="49"/>
        <v>0</v>
      </c>
      <c r="W80" s="2"/>
      <c r="X80" s="7">
        <f t="shared" si="50"/>
        <v>127.34</v>
      </c>
      <c r="Y80" s="2"/>
      <c r="Z80" s="6">
        <f t="shared" si="51"/>
        <v>0</v>
      </c>
    </row>
    <row r="81" spans="1:26" s="24" customFormat="1" hidden="1" outlineLevel="2" x14ac:dyDescent="0.25">
      <c r="A81" s="29"/>
      <c r="B81" s="11" t="str">
        <f>CONCATENATE("          ", "6248", " - ", "UNIFORMS")</f>
        <v xml:space="preserve">          6248 - UNIFORMS</v>
      </c>
      <c r="C81" s="11"/>
      <c r="D81" s="7"/>
      <c r="E81" s="2"/>
      <c r="F81" s="6">
        <f t="shared" si="44"/>
        <v>0</v>
      </c>
      <c r="G81" s="2"/>
      <c r="H81" s="7">
        <v>196</v>
      </c>
      <c r="I81" s="2"/>
      <c r="J81" s="6">
        <f t="shared" si="45"/>
        <v>3.5353535353535354E-4</v>
      </c>
      <c r="K81" s="2"/>
      <c r="L81" s="7">
        <f t="shared" si="46"/>
        <v>-196</v>
      </c>
      <c r="M81" s="2"/>
      <c r="N81" s="6">
        <f t="shared" si="47"/>
        <v>-1</v>
      </c>
      <c r="O81" s="11"/>
      <c r="P81" s="7"/>
      <c r="Q81" s="2"/>
      <c r="R81" s="6">
        <f t="shared" si="48"/>
        <v>0</v>
      </c>
      <c r="S81" s="2"/>
      <c r="T81" s="7">
        <v>588</v>
      </c>
      <c r="U81" s="2"/>
      <c r="V81" s="6">
        <f t="shared" si="49"/>
        <v>8.4848484848484851E-4</v>
      </c>
      <c r="W81" s="2"/>
      <c r="X81" s="7">
        <f t="shared" si="50"/>
        <v>-588</v>
      </c>
      <c r="Y81" s="2"/>
      <c r="Z81" s="6">
        <f t="shared" si="51"/>
        <v>-1</v>
      </c>
    </row>
    <row r="82" spans="1:26" s="28" customFormat="1" outlineLevel="1" collapsed="1" x14ac:dyDescent="0.25">
      <c r="A82" s="27"/>
      <c r="B82" s="14" t="str">
        <f>CONCATENATE("     ","Telephone/Data Lines                              ")</f>
        <v xml:space="preserve">     Telephone/Data Lines                              </v>
      </c>
      <c r="C82" s="14"/>
      <c r="D82" s="1">
        <f>SUM(OSRRefD22_14x_0)</f>
        <v>309</v>
      </c>
      <c r="E82" s="1"/>
      <c r="F82" s="5">
        <f t="shared" ref="F82:F85" si="52">IF(D$12=0,0,D82/D$12)</f>
        <v>4.5021926989762277E-4</v>
      </c>
      <c r="G82" s="1"/>
      <c r="H82" s="1">
        <f>SUM(OSRRefH22_14x_0)</f>
        <v>218</v>
      </c>
      <c r="I82" s="1"/>
      <c r="J82" s="5">
        <f t="shared" ref="J82:J85" si="53">IF(H$12=0,0,H82/H$12)</f>
        <v>3.9321789321789322E-4</v>
      </c>
      <c r="K82" s="1"/>
      <c r="L82" s="1">
        <f t="shared" ref="L82:L85" si="54">+D82-H82</f>
        <v>91</v>
      </c>
      <c r="M82" s="1"/>
      <c r="N82" s="5">
        <f t="shared" ref="N82:N85" si="55">IF(H82=0,0,L82/H82)</f>
        <v>0.41743119266055045</v>
      </c>
      <c r="O82" s="14"/>
      <c r="P82" s="1">
        <f>SUM(OSRRefP22_14x_0)</f>
        <v>835</v>
      </c>
      <c r="Q82" s="1"/>
      <c r="R82" s="5">
        <f t="shared" ref="R82:R85" si="56">IF(P$12=0,0,P82/P$12)</f>
        <v>8.88100969018135E-4</v>
      </c>
      <c r="S82" s="1"/>
      <c r="T82" s="1">
        <f>SUM(OSRRefT22_14x_0)</f>
        <v>654</v>
      </c>
      <c r="U82" s="1"/>
      <c r="V82" s="5">
        <f t="shared" ref="V82:V85" si="57">IF(T$12=0,0,T82/T$12)</f>
        <v>9.4372294372294368E-4</v>
      </c>
      <c r="W82" s="1"/>
      <c r="X82" s="1">
        <f t="shared" ref="X82:X85" si="58">+P82-T82</f>
        <v>181</v>
      </c>
      <c r="Y82" s="1"/>
      <c r="Z82" s="5">
        <f t="shared" ref="Z82:Z85" si="59">IF(T82=0,0,X82/T82)</f>
        <v>0.27675840978593275</v>
      </c>
    </row>
    <row r="83" spans="1:26" s="24" customFormat="1" hidden="1" outlineLevel="2" x14ac:dyDescent="0.25">
      <c r="A83" s="29"/>
      <c r="B83" s="11" t="str">
        <f>CONCATENATE("          ", "6309", " - ", "TELEPHONE")</f>
        <v xml:space="preserve">          6309 - TELEPHONE</v>
      </c>
      <c r="C83" s="11"/>
      <c r="D83" s="7">
        <v>309</v>
      </c>
      <c r="E83" s="2"/>
      <c r="F83" s="6">
        <f t="shared" si="52"/>
        <v>4.5021926989762277E-4</v>
      </c>
      <c r="G83" s="2"/>
      <c r="H83" s="7">
        <v>218</v>
      </c>
      <c r="I83" s="2"/>
      <c r="J83" s="6">
        <f t="shared" si="53"/>
        <v>3.9321789321789322E-4</v>
      </c>
      <c r="K83" s="2"/>
      <c r="L83" s="7">
        <f t="shared" si="54"/>
        <v>91</v>
      </c>
      <c r="M83" s="2"/>
      <c r="N83" s="6">
        <f t="shared" si="55"/>
        <v>0.41743119266055045</v>
      </c>
      <c r="O83" s="11"/>
      <c r="P83" s="7">
        <v>835</v>
      </c>
      <c r="Q83" s="2"/>
      <c r="R83" s="6">
        <f t="shared" si="56"/>
        <v>8.88100969018135E-4</v>
      </c>
      <c r="S83" s="2"/>
      <c r="T83" s="7">
        <v>654</v>
      </c>
      <c r="U83" s="2"/>
      <c r="V83" s="6">
        <f t="shared" si="57"/>
        <v>9.4372294372294368E-4</v>
      </c>
      <c r="W83" s="2"/>
      <c r="X83" s="7">
        <f t="shared" si="58"/>
        <v>181</v>
      </c>
      <c r="Y83" s="2"/>
      <c r="Z83" s="6">
        <f t="shared" si="59"/>
        <v>0.27675840978593275</v>
      </c>
    </row>
    <row r="84" spans="1:26" s="28" customFormat="1" outlineLevel="1" collapsed="1" x14ac:dyDescent="0.25">
      <c r="A84" s="27"/>
      <c r="B84" s="14" t="str">
        <f>CONCATENATE("     ","Training                                          ")</f>
        <v xml:space="preserve">     Training                                          </v>
      </c>
      <c r="C84" s="14"/>
      <c r="D84" s="1">
        <f>SUM(OSRRefD22_15x_0)</f>
        <v>0</v>
      </c>
      <c r="E84" s="1"/>
      <c r="F84" s="5">
        <f t="shared" si="52"/>
        <v>0</v>
      </c>
      <c r="G84" s="1"/>
      <c r="H84" s="1">
        <f>SUM(OSRRefH22_15x_0)</f>
        <v>175</v>
      </c>
      <c r="I84" s="1"/>
      <c r="J84" s="5">
        <f t="shared" si="53"/>
        <v>3.1565656565656568E-4</v>
      </c>
      <c r="K84" s="1"/>
      <c r="L84" s="1">
        <f t="shared" si="54"/>
        <v>-175</v>
      </c>
      <c r="M84" s="1"/>
      <c r="N84" s="5">
        <f t="shared" si="55"/>
        <v>-1</v>
      </c>
      <c r="O84" s="14"/>
      <c r="P84" s="1">
        <f>SUM(OSRRefP22_15x_0)</f>
        <v>0</v>
      </c>
      <c r="Q84" s="1"/>
      <c r="R84" s="5">
        <f t="shared" si="56"/>
        <v>0</v>
      </c>
      <c r="S84" s="1"/>
      <c r="T84" s="1">
        <f>SUM(OSRRefT22_15x_0)</f>
        <v>525</v>
      </c>
      <c r="U84" s="1"/>
      <c r="V84" s="5">
        <f t="shared" si="57"/>
        <v>7.5757575757575758E-4</v>
      </c>
      <c r="W84" s="1"/>
      <c r="X84" s="1">
        <f t="shared" si="58"/>
        <v>-525</v>
      </c>
      <c r="Y84" s="1"/>
      <c r="Z84" s="5">
        <f t="shared" si="59"/>
        <v>-1</v>
      </c>
    </row>
    <row r="85" spans="1:26" s="24" customFormat="1" hidden="1" outlineLevel="2" x14ac:dyDescent="0.25">
      <c r="A85" s="29"/>
      <c r="B85" s="11" t="str">
        <f>CONCATENATE("          ", "6376", " - ", "TRAINING")</f>
        <v xml:space="preserve">          6376 - TRAINING</v>
      </c>
      <c r="C85" s="11"/>
      <c r="D85" s="7"/>
      <c r="E85" s="2"/>
      <c r="F85" s="6">
        <f t="shared" si="52"/>
        <v>0</v>
      </c>
      <c r="G85" s="2"/>
      <c r="H85" s="7">
        <v>175</v>
      </c>
      <c r="I85" s="2"/>
      <c r="J85" s="6">
        <f t="shared" si="53"/>
        <v>3.1565656565656568E-4</v>
      </c>
      <c r="K85" s="2"/>
      <c r="L85" s="7">
        <f t="shared" si="54"/>
        <v>-175</v>
      </c>
      <c r="M85" s="2"/>
      <c r="N85" s="6">
        <f t="shared" si="55"/>
        <v>-1</v>
      </c>
      <c r="O85" s="11"/>
      <c r="P85" s="7"/>
      <c r="Q85" s="2"/>
      <c r="R85" s="6">
        <f t="shared" si="56"/>
        <v>0</v>
      </c>
      <c r="S85" s="2"/>
      <c r="T85" s="7">
        <v>525</v>
      </c>
      <c r="U85" s="2"/>
      <c r="V85" s="6">
        <f t="shared" si="57"/>
        <v>7.5757575757575758E-4</v>
      </c>
      <c r="W85" s="2"/>
      <c r="X85" s="7">
        <f t="shared" si="58"/>
        <v>-525</v>
      </c>
      <c r="Y85" s="2"/>
      <c r="Z85" s="6">
        <f t="shared" si="59"/>
        <v>-1</v>
      </c>
    </row>
    <row r="86" spans="1:26" s="58" customFormat="1" x14ac:dyDescent="0.25">
      <c r="A86" s="36"/>
      <c r="B86" s="36"/>
      <c r="C86" s="36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6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x14ac:dyDescent="0.25">
      <c r="A87" s="10"/>
      <c r="B87" s="26" t="s">
        <v>293</v>
      </c>
      <c r="C87" s="10"/>
      <c r="D87" s="4">
        <f>SUM(0)</f>
        <v>0</v>
      </c>
      <c r="E87" s="4"/>
      <c r="F87" s="12">
        <f>IF(D$12=0,0,D87/D$12)</f>
        <v>0</v>
      </c>
      <c r="G87" s="4"/>
      <c r="H87" s="4">
        <f>SUM(0)</f>
        <v>0</v>
      </c>
      <c r="I87" s="4"/>
      <c r="J87" s="12">
        <f>IF(H$12=0,0,H87/H$12)</f>
        <v>0</v>
      </c>
      <c r="K87" s="4"/>
      <c r="L87" s="4">
        <f>+D87-H87</f>
        <v>0</v>
      </c>
      <c r="M87" s="4"/>
      <c r="N87" s="12">
        <f>IF(H87=0,0,L87/H87)</f>
        <v>0</v>
      </c>
      <c r="O87" s="10"/>
      <c r="P87" s="4">
        <f>SUM(0)</f>
        <v>0</v>
      </c>
      <c r="Q87" s="4"/>
      <c r="R87" s="12">
        <f>IF(P$12=0,0,P87/P$12)</f>
        <v>0</v>
      </c>
      <c r="S87" s="4"/>
      <c r="T87" s="4">
        <f>SUM(0)</f>
        <v>0</v>
      </c>
      <c r="U87" s="4"/>
      <c r="V87" s="12">
        <f>IF(T$12=0,0,T87/T$12)</f>
        <v>0</v>
      </c>
      <c r="W87" s="4"/>
      <c r="X87" s="4">
        <f>+P87-T87</f>
        <v>0</v>
      </c>
      <c r="Y87" s="4"/>
      <c r="Z87" s="12">
        <f>IF(T87=0,0,X87/T87)</f>
        <v>0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10"/>
      <c r="B89" s="25" t="s">
        <v>277</v>
      </c>
      <c r="C89" s="25"/>
      <c r="D89" s="21">
        <f>+D23-D25+D87</f>
        <v>321490.08000000007</v>
      </c>
      <c r="E89" s="13"/>
      <c r="F89" s="20">
        <f>IF(D$12=0,0,D89/D$12)</f>
        <v>0.46841756989297206</v>
      </c>
      <c r="G89" s="13"/>
      <c r="H89" s="21">
        <f>+H23-H25+H87</f>
        <v>172359.58030878007</v>
      </c>
      <c r="I89" s="13"/>
      <c r="J89" s="20">
        <f>IF(H$12=0,0,H89/H$12)</f>
        <v>0.31089390387586591</v>
      </c>
      <c r="K89" s="16"/>
      <c r="L89" s="21">
        <f>+D89-H89</f>
        <v>149130.49969122</v>
      </c>
      <c r="M89" s="16"/>
      <c r="N89" s="20">
        <f>IF(H89=0,0,L89/H89)</f>
        <v>0.86522895579145953</v>
      </c>
      <c r="O89" s="26"/>
      <c r="P89" s="21">
        <f>+P23-P25+P87</f>
        <v>245385.97000000003</v>
      </c>
      <c r="Q89" s="13"/>
      <c r="R89" s="20">
        <f>IF(P$12=0,0,P89/P$12)</f>
        <v>0.26099103921012579</v>
      </c>
      <c r="S89" s="13"/>
      <c r="T89" s="21">
        <f>+T23-T25+T87</f>
        <v>-36787.68999646476</v>
      </c>
      <c r="U89" s="13"/>
      <c r="V89" s="20">
        <f>IF(T$12=0,0,T89/T$12)</f>
        <v>-5.3084689749588396E-2</v>
      </c>
      <c r="W89" s="16"/>
      <c r="X89" s="21">
        <f>+P89-T89</f>
        <v>282173.65999646479</v>
      </c>
      <c r="Y89" s="16"/>
      <c r="Z89" s="20">
        <f>IF(T89=0,0,X89/T89)</f>
        <v>-7.6703283088332332</v>
      </c>
    </row>
    <row r="90" spans="1:26" x14ac:dyDescent="0.25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52"/>
      <c r="B91" s="10" t="s">
        <v>128</v>
      </c>
      <c r="C91" s="10"/>
      <c r="D91" s="4">
        <v>78437.41</v>
      </c>
      <c r="E91" s="4"/>
      <c r="F91" s="12">
        <f>IF(D$12=0,0,D91/D$12)</f>
        <v>0.11428489793805986</v>
      </c>
      <c r="G91" s="4"/>
      <c r="H91" s="4">
        <v>59727</v>
      </c>
      <c r="I91" s="4"/>
      <c r="J91" s="12">
        <f>IF(H$12=0,0,H91/H$12)</f>
        <v>0.10773268398268399</v>
      </c>
      <c r="K91" s="4"/>
      <c r="L91" s="4">
        <f>+D91-H91</f>
        <v>18710.410000000003</v>
      </c>
      <c r="M91" s="4"/>
      <c r="N91" s="12">
        <f>IF(H91=0,0,L91/H91)</f>
        <v>0.31326552480452735</v>
      </c>
      <c r="O91" s="10"/>
      <c r="P91" s="4">
        <v>116374.88</v>
      </c>
      <c r="Q91" s="4"/>
      <c r="R91" s="12">
        <f>IF(P$12=0,0,P91/P$12)</f>
        <v>0.12377562119445411</v>
      </c>
      <c r="S91" s="4"/>
      <c r="T91" s="4">
        <v>75249</v>
      </c>
      <c r="U91" s="4"/>
      <c r="V91" s="12">
        <f>IF(T$12=0,0,T91/T$12)</f>
        <v>0.10858441558441559</v>
      </c>
      <c r="W91" s="4"/>
      <c r="X91" s="4">
        <f>+P91-T91</f>
        <v>41125.880000000005</v>
      </c>
      <c r="Y91" s="4"/>
      <c r="Z91" s="12">
        <f>IF(T91=0,0,X91/T91)</f>
        <v>0.54653058512405484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5" t="s">
        <v>126</v>
      </c>
      <c r="C93" s="25"/>
      <c r="D93" s="33">
        <f>+D89-D91</f>
        <v>243052.67000000007</v>
      </c>
      <c r="E93" s="13"/>
      <c r="F93" s="31">
        <f>IF(D$12=0,0,D93/D$12)</f>
        <v>0.35413267195491221</v>
      </c>
      <c r="G93" s="13"/>
      <c r="H93" s="33">
        <f>+H89-H91</f>
        <v>112632.58030878007</v>
      </c>
      <c r="I93" s="13"/>
      <c r="J93" s="31">
        <f>IF(H$12=0,0,H93/H$12)</f>
        <v>0.20316121989318195</v>
      </c>
      <c r="K93" s="16"/>
      <c r="L93" s="33">
        <f>D93-H93</f>
        <v>130420.08969122</v>
      </c>
      <c r="M93" s="16"/>
      <c r="N93" s="31">
        <f>IF(H93=0,0,L93/H93)</f>
        <v>1.1579250811237372</v>
      </c>
      <c r="O93" s="26"/>
      <c r="P93" s="33">
        <f>+P89-P91</f>
        <v>129011.09000000003</v>
      </c>
      <c r="Q93" s="13"/>
      <c r="R93" s="31">
        <f>IF(P$12=0,0,P93/P$12)</f>
        <v>0.13721541801567166</v>
      </c>
      <c r="S93" s="13"/>
      <c r="T93" s="33">
        <f>+T89-T91</f>
        <v>-112036.68999646476</v>
      </c>
      <c r="U93" s="13"/>
      <c r="V93" s="31">
        <f>IF(T$12=0,0,T93/T$12)</f>
        <v>-0.16166910533400397</v>
      </c>
      <c r="W93" s="16"/>
      <c r="X93" s="33">
        <f>P93-T93</f>
        <v>241047.77999646479</v>
      </c>
      <c r="Y93" s="16"/>
      <c r="Z93" s="31">
        <f>IF(T93=0,0,X93/T93)</f>
        <v>-2.1515075106562938</v>
      </c>
    </row>
    <row r="94" spans="1:26" ht="15.75" thickTop="1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5" t="s">
        <v>294</v>
      </c>
      <c r="C96" s="25"/>
      <c r="D96" s="35">
        <f>SUM(D93:D95)</f>
        <v>243052.67000000007</v>
      </c>
      <c r="E96" s="13"/>
      <c r="F96" s="34">
        <f>IF(D$12=0,0,D96/D$12)</f>
        <v>0.35413267195491221</v>
      </c>
      <c r="G96" s="13"/>
      <c r="H96" s="35">
        <f>SUM(H93:H95)</f>
        <v>112632.58030878007</v>
      </c>
      <c r="I96" s="13"/>
      <c r="J96" s="34">
        <f>IF(H$12=0,0,H96/H$12)</f>
        <v>0.20316121989318195</v>
      </c>
      <c r="K96" s="16"/>
      <c r="L96" s="35">
        <f>+D96-H96</f>
        <v>130420.08969122</v>
      </c>
      <c r="M96" s="16"/>
      <c r="N96" s="34">
        <f>IF(H96=0,0,L96/H96)</f>
        <v>1.1579250811237372</v>
      </c>
      <c r="O96" s="26"/>
      <c r="P96" s="35">
        <f>SUM(P93:P95)</f>
        <v>129011.09000000003</v>
      </c>
      <c r="Q96" s="13"/>
      <c r="R96" s="34">
        <f>IF(P$12=0,0,P96/P$12)</f>
        <v>0.13721541801567166</v>
      </c>
      <c r="S96" s="13"/>
      <c r="T96" s="35">
        <f>SUM(T93:T95)</f>
        <v>-112036.68999646476</v>
      </c>
      <c r="U96" s="13"/>
      <c r="V96" s="34">
        <f>IF(T$12=0,0,T96/T$12)</f>
        <v>-0.16166910533400397</v>
      </c>
      <c r="W96" s="16"/>
      <c r="X96" s="35">
        <f>+P96-T96</f>
        <v>241047.77999646479</v>
      </c>
      <c r="Y96" s="16"/>
      <c r="Z96" s="34">
        <f>IF(T96=0,0,X96/T96)</f>
        <v>-2.1515075106562938</v>
      </c>
    </row>
    <row r="97" spans="1:24" ht="15.75" thickTop="1" x14ac:dyDescent="0.25">
      <c r="A97" s="9"/>
      <c r="C97" s="9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A98" s="9"/>
      <c r="B98" s="61">
        <v>44481.978956793981</v>
      </c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25">
      <c r="A99" s="9"/>
      <c r="B99" s="56" t="s">
        <v>56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4" x14ac:dyDescent="0.25">
      <c r="A100" s="9"/>
      <c r="B100" s="54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4" x14ac:dyDescent="0.25"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92D050"/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","450", " - ", "Beachside Dining Hall")</f>
        <v>Department 450 - Beachside Dining Hall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162218.18999999997</v>
      </c>
      <c r="E12" s="4"/>
      <c r="F12" s="12"/>
      <c r="G12" s="4"/>
      <c r="H12" s="4">
        <f>SUM(OSRRefH13x_0)</f>
        <v>120960</v>
      </c>
      <c r="I12" s="4"/>
      <c r="J12" s="12"/>
      <c r="K12" s="4"/>
      <c r="L12" s="4">
        <f t="shared" ref="L12:L16" si="0">+D12-H12</f>
        <v>41258.189999999973</v>
      </c>
      <c r="M12" s="4"/>
      <c r="N12" s="12">
        <f t="shared" ref="N12:N16" si="1">IF(H12=0,0,L12/H12)</f>
        <v>0.34108953373015849</v>
      </c>
      <c r="O12" s="10"/>
      <c r="P12" s="4">
        <f>SUM(OSRRefP13x_0)</f>
        <v>204110.96999999997</v>
      </c>
      <c r="Q12" s="4"/>
      <c r="R12" s="12"/>
      <c r="S12" s="4"/>
      <c r="T12" s="4">
        <f>SUM(OSRRefT13x_0)</f>
        <v>151200</v>
      </c>
      <c r="U12" s="4"/>
      <c r="V12" s="12"/>
      <c r="W12" s="4"/>
      <c r="X12" s="4">
        <f t="shared" ref="X12:X16" si="2">+P12-T12</f>
        <v>52910.969999999972</v>
      </c>
      <c r="Y12" s="4"/>
      <c r="Z12" s="12">
        <f t="shared" ref="Z12:Z16" si="3">IF(T12=0,0,X12/T12)</f>
        <v>0.34994027777777759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--62.83</f>
        <v>62.83</v>
      </c>
      <c r="E13" s="2"/>
      <c r="F13" s="19"/>
      <c r="G13" s="2"/>
      <c r="H13" s="2"/>
      <c r="I13" s="2"/>
      <c r="J13" s="19"/>
      <c r="K13" s="2"/>
      <c r="L13" s="2">
        <f t="shared" si="0"/>
        <v>62.83</v>
      </c>
      <c r="M13" s="2"/>
      <c r="N13" s="19">
        <f t="shared" si="1"/>
        <v>0</v>
      </c>
      <c r="O13" s="11"/>
      <c r="P13" s="2">
        <f>--62.83</f>
        <v>62.83</v>
      </c>
      <c r="Q13" s="2"/>
      <c r="R13" s="19"/>
      <c r="S13" s="2"/>
      <c r="T13" s="2"/>
      <c r="U13" s="2"/>
      <c r="V13" s="19"/>
      <c r="W13" s="2"/>
      <c r="X13" s="2">
        <f t="shared" si="2"/>
        <v>62.83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120960</v>
      </c>
      <c r="I14" s="2"/>
      <c r="J14" s="19"/>
      <c r="K14" s="2"/>
      <c r="L14" s="2">
        <f t="shared" si="0"/>
        <v>-120960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151200</v>
      </c>
      <c r="U14" s="2"/>
      <c r="V14" s="19"/>
      <c r="W14" s="2"/>
      <c r="X14" s="2">
        <f t="shared" si="2"/>
        <v>-151200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--161127.28</f>
        <v>161127.28</v>
      </c>
      <c r="E15" s="2"/>
      <c r="F15" s="19"/>
      <c r="G15" s="2"/>
      <c r="H15" s="2"/>
      <c r="I15" s="2"/>
      <c r="J15" s="19"/>
      <c r="K15" s="2"/>
      <c r="L15" s="2">
        <f t="shared" si="0"/>
        <v>161127.28</v>
      </c>
      <c r="M15" s="2"/>
      <c r="N15" s="19">
        <f t="shared" si="1"/>
        <v>0</v>
      </c>
      <c r="O15" s="11"/>
      <c r="P15" s="2">
        <f>--202737.86</f>
        <v>202737.86</v>
      </c>
      <c r="Q15" s="2"/>
      <c r="R15" s="19"/>
      <c r="S15" s="2"/>
      <c r="T15" s="2"/>
      <c r="U15" s="2"/>
      <c r="V15" s="19"/>
      <c r="W15" s="2"/>
      <c r="X15" s="2">
        <f t="shared" si="2"/>
        <v>202737.86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--1028.08</f>
        <v>1028.08</v>
      </c>
      <c r="E16" s="2"/>
      <c r="F16" s="19"/>
      <c r="G16" s="2"/>
      <c r="H16" s="2"/>
      <c r="I16" s="2"/>
      <c r="J16" s="19"/>
      <c r="K16" s="2"/>
      <c r="L16" s="2">
        <f t="shared" si="0"/>
        <v>1028.08</v>
      </c>
      <c r="M16" s="2"/>
      <c r="N16" s="19">
        <f t="shared" si="1"/>
        <v>0</v>
      </c>
      <c r="O16" s="11"/>
      <c r="P16" s="2">
        <f>--1310.28</f>
        <v>1310.28</v>
      </c>
      <c r="Q16" s="2"/>
      <c r="R16" s="19"/>
      <c r="S16" s="2"/>
      <c r="T16" s="2"/>
      <c r="U16" s="2"/>
      <c r="V16" s="19"/>
      <c r="W16" s="2"/>
      <c r="X16" s="2">
        <f t="shared" si="2"/>
        <v>1310.28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257</v>
      </c>
      <c r="C18" s="10"/>
      <c r="D18" s="4">
        <f>SUM(OSRRefD16x_0)</f>
        <v>55730.09</v>
      </c>
      <c r="E18" s="4"/>
      <c r="F18" s="12">
        <f t="shared" ref="F18:F21" si="4">IF(D$12=0,0,D18/D$12)</f>
        <v>0.34355019002492881</v>
      </c>
      <c r="G18" s="4"/>
      <c r="H18" s="4">
        <f>SUM(OSRRefH16x_0)</f>
        <v>34450</v>
      </c>
      <c r="I18" s="4"/>
      <c r="J18" s="12">
        <f t="shared" ref="J18:J21" si="5">IF(H$12=0,0,H18/H$12)</f>
        <v>0.28480489417989419</v>
      </c>
      <c r="K18" s="4"/>
      <c r="L18" s="4">
        <f t="shared" ref="L18:L21" si="6">+D18-H18</f>
        <v>21280.089999999997</v>
      </c>
      <c r="M18" s="4"/>
      <c r="N18" s="12">
        <f t="shared" ref="N18:N21" si="7">IF(H18=0,0,L18/H18)</f>
        <v>0.61770943396226408</v>
      </c>
      <c r="O18" s="10"/>
      <c r="P18" s="4">
        <f>SUM(OSRRefP16x_0)</f>
        <v>90056.54</v>
      </c>
      <c r="Q18" s="4"/>
      <c r="R18" s="12">
        <f t="shared" ref="R18:R21" si="8">IF(P$12=0,0,P18/P$12)</f>
        <v>0.44121362021845278</v>
      </c>
      <c r="S18" s="4"/>
      <c r="T18" s="4">
        <f>SUM(OSRRefT16x_0)</f>
        <v>52594</v>
      </c>
      <c r="U18" s="4"/>
      <c r="V18" s="12">
        <f t="shared" ref="V18:V21" si="9">IF(T$12=0,0,T18/T$12)</f>
        <v>0.34784391534391534</v>
      </c>
      <c r="W18" s="4"/>
      <c r="X18" s="4">
        <f t="shared" ref="X18:X21" si="10">+P18-T18</f>
        <v>37462.539999999994</v>
      </c>
      <c r="Y18" s="4"/>
      <c r="Z18" s="12">
        <f t="shared" ref="Z18:Z21" si="11">IF(T18=0,0,X18/T18)</f>
        <v>0.71229683994371973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34450</v>
      </c>
      <c r="I19" s="2"/>
      <c r="J19" s="19">
        <f t="shared" si="5"/>
        <v>0.28480489417989419</v>
      </c>
      <c r="K19" s="2"/>
      <c r="L19" s="2">
        <f t="shared" si="6"/>
        <v>-34450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52594</v>
      </c>
      <c r="U19" s="2"/>
      <c r="V19" s="19">
        <f t="shared" si="9"/>
        <v>0.34784391534391534</v>
      </c>
      <c r="W19" s="2"/>
      <c r="X19" s="2">
        <f t="shared" si="10"/>
        <v>-52594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63697.09</v>
      </c>
      <c r="E20" s="2"/>
      <c r="F20" s="19">
        <f t="shared" si="4"/>
        <v>0.3926630546179809</v>
      </c>
      <c r="G20" s="2"/>
      <c r="H20" s="2"/>
      <c r="I20" s="2"/>
      <c r="J20" s="19">
        <f t="shared" si="5"/>
        <v>0</v>
      </c>
      <c r="K20" s="2"/>
      <c r="L20" s="2">
        <f t="shared" si="6"/>
        <v>63697.09</v>
      </c>
      <c r="M20" s="2"/>
      <c r="N20" s="19">
        <f t="shared" si="7"/>
        <v>0</v>
      </c>
      <c r="O20" s="11"/>
      <c r="P20" s="2">
        <v>111276.54</v>
      </c>
      <c r="Q20" s="2"/>
      <c r="R20" s="19">
        <f t="shared" si="8"/>
        <v>0.54517667521740754</v>
      </c>
      <c r="S20" s="2"/>
      <c r="T20" s="2"/>
      <c r="U20" s="2"/>
      <c r="V20" s="19">
        <f t="shared" si="9"/>
        <v>0</v>
      </c>
      <c r="W20" s="2"/>
      <c r="X20" s="2">
        <f t="shared" si="10"/>
        <v>111276.54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-7967</v>
      </c>
      <c r="E21" s="2"/>
      <c r="F21" s="19">
        <f t="shared" si="4"/>
        <v>-4.911286459305212E-2</v>
      </c>
      <c r="G21" s="2"/>
      <c r="H21" s="2"/>
      <c r="I21" s="2"/>
      <c r="J21" s="19">
        <f t="shared" si="5"/>
        <v>0</v>
      </c>
      <c r="K21" s="2"/>
      <c r="L21" s="2">
        <f t="shared" si="6"/>
        <v>-7967</v>
      </c>
      <c r="M21" s="2"/>
      <c r="N21" s="19">
        <f t="shared" si="7"/>
        <v>0</v>
      </c>
      <c r="O21" s="11"/>
      <c r="P21" s="2">
        <v>-21220</v>
      </c>
      <c r="Q21" s="2"/>
      <c r="R21" s="19">
        <f t="shared" si="8"/>
        <v>-0.10396305499895475</v>
      </c>
      <c r="S21" s="2"/>
      <c r="T21" s="2"/>
      <c r="U21" s="2"/>
      <c r="V21" s="19">
        <f t="shared" si="9"/>
        <v>0</v>
      </c>
      <c r="W21" s="2"/>
      <c r="X21" s="2">
        <f t="shared" si="10"/>
        <v>-21220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108</v>
      </c>
      <c r="C23" s="25"/>
      <c r="D23" s="21">
        <f>D12-D18</f>
        <v>106488.09999999998</v>
      </c>
      <c r="E23" s="13"/>
      <c r="F23" s="20">
        <f>IF(D$12=0,0,D23/D$12)</f>
        <v>0.65644980997507119</v>
      </c>
      <c r="G23" s="13"/>
      <c r="H23" s="21">
        <f>H12-H18</f>
        <v>86510</v>
      </c>
      <c r="I23" s="13"/>
      <c r="J23" s="20">
        <f>IF(H$12=0,0,H23/H$12)</f>
        <v>0.71519510582010581</v>
      </c>
      <c r="K23" s="16"/>
      <c r="L23" s="21">
        <f>+D23-H23</f>
        <v>19978.099999999977</v>
      </c>
      <c r="M23" s="16"/>
      <c r="N23" s="20">
        <f>IF(H23=0,0,L23/H23)</f>
        <v>0.23093399606981824</v>
      </c>
      <c r="O23" s="26"/>
      <c r="P23" s="21">
        <f>P12-P18</f>
        <v>114054.42999999998</v>
      </c>
      <c r="Q23" s="13"/>
      <c r="R23" s="20">
        <f>IF(P$12=0,0,P23/P$12)</f>
        <v>0.55878637978154722</v>
      </c>
      <c r="S23" s="13"/>
      <c r="T23" s="21">
        <f>T12-T18</f>
        <v>98606</v>
      </c>
      <c r="U23" s="13"/>
      <c r="V23" s="20">
        <f>IF(T$12=0,0,T23/T$12)</f>
        <v>0.65215608465608466</v>
      </c>
      <c r="W23" s="16"/>
      <c r="X23" s="21">
        <f>+P23-T23</f>
        <v>15448.429999999978</v>
      </c>
      <c r="Y23" s="16"/>
      <c r="Z23" s="20">
        <f>IF(T23=0,0,X23/T23)</f>
        <v>0.15666825548141064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295</v>
      </c>
      <c r="C25" s="10"/>
      <c r="D25" s="22">
        <f>SUM(OSRRefD22x_0)</f>
        <v>122556.40999999999</v>
      </c>
      <c r="E25" s="22"/>
      <c r="F25" s="32">
        <f t="shared" ref="F25:F36" si="12">IF(D$12=0,0,D25/D$12)</f>
        <v>0.75550349809722328</v>
      </c>
      <c r="G25" s="22"/>
      <c r="H25" s="22">
        <f>SUM(OSRRefH22x_0)</f>
        <v>128500.7269969231</v>
      </c>
      <c r="I25" s="22"/>
      <c r="J25" s="32">
        <f t="shared" ref="J25:J36" si="13">IF(H$12=0,0,H25/H$12)</f>
        <v>1.0623406663105415</v>
      </c>
      <c r="K25" s="4"/>
      <c r="L25" s="22">
        <f t="shared" ref="L25:L36" si="14">+D25-H25</f>
        <v>-5944.3169969231094</v>
      </c>
      <c r="M25" s="4"/>
      <c r="N25" s="32">
        <f t="shared" ref="N25:N36" si="15">IF(H25=0,0,L25/H25)</f>
        <v>-4.6259014527329827E-2</v>
      </c>
      <c r="O25" s="10"/>
      <c r="P25" s="22">
        <f>SUM(OSRRefP22x_0)</f>
        <v>235403.58999999997</v>
      </c>
      <c r="Q25" s="22"/>
      <c r="R25" s="32">
        <f t="shared" ref="R25:R36" si="16">IF(P$12=0,0,P25/P$12)</f>
        <v>1.1533117989689627</v>
      </c>
      <c r="S25" s="22"/>
      <c r="T25" s="22">
        <f>SUM(OSRRefT22x_0)</f>
        <v>317909.37624000013</v>
      </c>
      <c r="U25" s="22"/>
      <c r="V25" s="32">
        <f t="shared" ref="V25:V36" si="17">IF(T$12=0,0,T25/T$12)</f>
        <v>2.1025752396825403</v>
      </c>
      <c r="W25" s="4"/>
      <c r="X25" s="22">
        <f t="shared" ref="X25:X36" si="18">+P25-T25</f>
        <v>-82505.786240000161</v>
      </c>
      <c r="Y25" s="4"/>
      <c r="Z25" s="32">
        <f t="shared" ref="Z25:Z36" si="19">IF(T25=0,0,X25/T25)</f>
        <v>-0.25952611783841778</v>
      </c>
    </row>
    <row r="26" spans="1:26" s="28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22817.989999999998</v>
      </c>
      <c r="E26" s="1"/>
      <c r="F26" s="5">
        <f t="shared" si="12"/>
        <v>0.14066233879196902</v>
      </c>
      <c r="G26" s="1"/>
      <c r="H26" s="1">
        <f>SUM(OSRRefH22_0x_0)</f>
        <v>30375.831612307727</v>
      </c>
      <c r="I26" s="1"/>
      <c r="J26" s="5">
        <f t="shared" si="13"/>
        <v>0.2511229465303218</v>
      </c>
      <c r="K26" s="1"/>
      <c r="L26" s="1">
        <f t="shared" si="14"/>
        <v>-7557.8416123077295</v>
      </c>
      <c r="M26" s="1"/>
      <c r="N26" s="5">
        <f t="shared" si="15"/>
        <v>-0.2488110188642681</v>
      </c>
      <c r="O26" s="14"/>
      <c r="P26" s="1">
        <f>SUM(OSRRefP22_0x_0)</f>
        <v>61720.529999999992</v>
      </c>
      <c r="Q26" s="1"/>
      <c r="R26" s="5">
        <f t="shared" si="16"/>
        <v>0.30238712794319678</v>
      </c>
      <c r="S26" s="1"/>
      <c r="T26" s="1">
        <f>SUM(OSRRefT22_0x_0)</f>
        <v>93692.11624000009</v>
      </c>
      <c r="U26" s="1"/>
      <c r="V26" s="5">
        <f t="shared" si="17"/>
        <v>0.619656853439154</v>
      </c>
      <c r="W26" s="1"/>
      <c r="X26" s="1">
        <f t="shared" si="18"/>
        <v>-31971.586240000099</v>
      </c>
      <c r="Y26" s="1"/>
      <c r="Z26" s="5">
        <f t="shared" si="19"/>
        <v>-0.34124094452197279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7">
        <v>4154.1000000000004</v>
      </c>
      <c r="E27" s="2"/>
      <c r="F27" s="6">
        <f t="shared" si="12"/>
        <v>2.5608102272624302E-2</v>
      </c>
      <c r="G27" s="2"/>
      <c r="H27" s="7">
        <v>2633.9977661538501</v>
      </c>
      <c r="I27" s="2"/>
      <c r="J27" s="6">
        <f t="shared" si="13"/>
        <v>2.1775775183150214E-2</v>
      </c>
      <c r="K27" s="2"/>
      <c r="L27" s="7">
        <f t="shared" si="14"/>
        <v>1520.1022338461503</v>
      </c>
      <c r="M27" s="2"/>
      <c r="N27" s="6">
        <f t="shared" si="15"/>
        <v>0.57710839901956168</v>
      </c>
      <c r="O27" s="11"/>
      <c r="P27" s="7">
        <v>7719.14</v>
      </c>
      <c r="Q27" s="2"/>
      <c r="R27" s="6">
        <f t="shared" si="16"/>
        <v>3.7818349498804506E-2</v>
      </c>
      <c r="S27" s="2"/>
      <c r="T27" s="7">
        <v>9551.5562400000108</v>
      </c>
      <c r="U27" s="2"/>
      <c r="V27" s="6">
        <f t="shared" si="17"/>
        <v>6.3171668253968319E-2</v>
      </c>
      <c r="W27" s="2"/>
      <c r="X27" s="7">
        <f t="shared" si="18"/>
        <v>-1832.4162400000105</v>
      </c>
      <c r="Y27" s="2"/>
      <c r="Z27" s="6">
        <f t="shared" si="19"/>
        <v>-0.19184478360983911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>
        <v>2139</v>
      </c>
      <c r="E28" s="2"/>
      <c r="F28" s="6">
        <f t="shared" si="12"/>
        <v>1.3185944190352515E-2</v>
      </c>
      <c r="G28" s="2"/>
      <c r="H28" s="7">
        <v>2817.40436923077</v>
      </c>
      <c r="I28" s="2"/>
      <c r="J28" s="6">
        <f t="shared" si="13"/>
        <v>2.3292033475783482E-2</v>
      </c>
      <c r="K28" s="2"/>
      <c r="L28" s="7">
        <f t="shared" si="14"/>
        <v>-678.40436923077004</v>
      </c>
      <c r="M28" s="2"/>
      <c r="N28" s="6">
        <f t="shared" si="15"/>
        <v>-0.24079055766353957</v>
      </c>
      <c r="O28" s="11"/>
      <c r="P28" s="7">
        <v>3759.21</v>
      </c>
      <c r="Q28" s="2"/>
      <c r="R28" s="6">
        <f t="shared" si="16"/>
        <v>1.8417481431791737E-2</v>
      </c>
      <c r="S28" s="2"/>
      <c r="T28" s="7">
        <v>6425.1112000000003</v>
      </c>
      <c r="U28" s="2"/>
      <c r="V28" s="6">
        <f t="shared" si="17"/>
        <v>4.2494121693121695E-2</v>
      </c>
      <c r="W28" s="2"/>
      <c r="X28" s="7">
        <f t="shared" si="18"/>
        <v>-2665.9012000000002</v>
      </c>
      <c r="Y28" s="2"/>
      <c r="Z28" s="6">
        <f t="shared" si="19"/>
        <v>-0.41491907564183483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7">
        <v>10735.63</v>
      </c>
      <c r="E29" s="2"/>
      <c r="F29" s="6">
        <f t="shared" si="12"/>
        <v>6.6180186081474593E-2</v>
      </c>
      <c r="G29" s="2"/>
      <c r="H29" s="7">
        <v>18578.538461538501</v>
      </c>
      <c r="I29" s="2"/>
      <c r="J29" s="6">
        <f t="shared" si="13"/>
        <v>0.15359241452991484</v>
      </c>
      <c r="K29" s="2"/>
      <c r="L29" s="7">
        <f t="shared" si="14"/>
        <v>-7842.9084615385018</v>
      </c>
      <c r="M29" s="2"/>
      <c r="N29" s="6">
        <f t="shared" si="15"/>
        <v>-0.4221488400594578</v>
      </c>
      <c r="O29" s="11"/>
      <c r="P29" s="7">
        <v>35638.959999999999</v>
      </c>
      <c r="Q29" s="2"/>
      <c r="R29" s="6">
        <f t="shared" si="16"/>
        <v>0.17460580389187316</v>
      </c>
      <c r="S29" s="2"/>
      <c r="T29" s="7">
        <v>59886.000000000102</v>
      </c>
      <c r="U29" s="2"/>
      <c r="V29" s="6">
        <f t="shared" si="17"/>
        <v>0.39607142857142924</v>
      </c>
      <c r="W29" s="2"/>
      <c r="X29" s="7">
        <f t="shared" si="18"/>
        <v>-24247.040000000103</v>
      </c>
      <c r="Y29" s="2"/>
      <c r="Z29" s="6">
        <f t="shared" si="19"/>
        <v>-0.40488661790735836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154.47999999999999</v>
      </c>
      <c r="E30" s="2"/>
      <c r="F30" s="6">
        <f t="shared" si="12"/>
        <v>9.52297643069498E-4</v>
      </c>
      <c r="G30" s="2"/>
      <c r="H30" s="7">
        <v>156.10947692307701</v>
      </c>
      <c r="I30" s="2"/>
      <c r="J30" s="6">
        <f t="shared" si="13"/>
        <v>1.2905876068376077E-3</v>
      </c>
      <c r="K30" s="2"/>
      <c r="L30" s="7">
        <f t="shared" si="14"/>
        <v>-1.6294769230770214</v>
      </c>
      <c r="M30" s="2"/>
      <c r="N30" s="6">
        <f t="shared" si="15"/>
        <v>-1.0438039734640496E-2</v>
      </c>
      <c r="O30" s="11"/>
      <c r="P30" s="7">
        <v>271.5</v>
      </c>
      <c r="Q30" s="2"/>
      <c r="R30" s="6">
        <f t="shared" si="16"/>
        <v>1.3301587856840817E-3</v>
      </c>
      <c r="S30" s="2"/>
      <c r="T30" s="7">
        <v>356.00880000000001</v>
      </c>
      <c r="U30" s="2"/>
      <c r="V30" s="6">
        <f t="shared" si="17"/>
        <v>2.3545555555555555E-3</v>
      </c>
      <c r="W30" s="2"/>
      <c r="X30" s="7">
        <f t="shared" si="18"/>
        <v>-84.508800000000008</v>
      </c>
      <c r="Y30" s="2"/>
      <c r="Z30" s="6">
        <f t="shared" si="19"/>
        <v>-0.23737840188220069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7">
        <v>836.6</v>
      </c>
      <c r="E31" s="2"/>
      <c r="F31" s="6">
        <f t="shared" si="12"/>
        <v>5.157251477161718E-3</v>
      </c>
      <c r="G31" s="2"/>
      <c r="H31" s="7">
        <v>408.83076923076902</v>
      </c>
      <c r="I31" s="2"/>
      <c r="J31" s="6">
        <f t="shared" si="13"/>
        <v>3.379884004884003E-3</v>
      </c>
      <c r="K31" s="2"/>
      <c r="L31" s="7">
        <f t="shared" si="14"/>
        <v>427.769230769231</v>
      </c>
      <c r="M31" s="2"/>
      <c r="N31" s="6">
        <f t="shared" si="15"/>
        <v>1.0463234740724028</v>
      </c>
      <c r="O31" s="11"/>
      <c r="P31" s="7">
        <v>2009.95</v>
      </c>
      <c r="Q31" s="2"/>
      <c r="R31" s="6">
        <f t="shared" si="16"/>
        <v>9.8473394154170169E-3</v>
      </c>
      <c r="S31" s="2"/>
      <c r="T31" s="7">
        <v>1328.7</v>
      </c>
      <c r="U31" s="2"/>
      <c r="V31" s="6">
        <f t="shared" si="17"/>
        <v>8.7876984126984137E-3</v>
      </c>
      <c r="W31" s="2"/>
      <c r="X31" s="7">
        <f t="shared" si="18"/>
        <v>681.25</v>
      </c>
      <c r="Y31" s="2"/>
      <c r="Z31" s="6">
        <f t="shared" si="19"/>
        <v>0.51271919921728004</v>
      </c>
    </row>
    <row r="32" spans="1:26" s="24" customFormat="1" hidden="1" outlineLevel="2" x14ac:dyDescent="0.25">
      <c r="A32" s="29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9"/>
      <c r="B33" s="11" t="str">
        <f>CONCATENATE("          ", "6117", " - ", "RETIREMENT STAFF HOURLY")</f>
        <v xml:space="preserve">          6117 - RETIREMENT STAFF HOURLY</v>
      </c>
      <c r="C33" s="11"/>
      <c r="D33" s="7">
        <v>552.17999999999995</v>
      </c>
      <c r="E33" s="2"/>
      <c r="F33" s="6">
        <f t="shared" si="12"/>
        <v>3.4039339238096543E-3</v>
      </c>
      <c r="G33" s="2"/>
      <c r="H33" s="7"/>
      <c r="I33" s="2"/>
      <c r="J33" s="6">
        <f t="shared" si="13"/>
        <v>0</v>
      </c>
      <c r="K33" s="2"/>
      <c r="L33" s="7">
        <f t="shared" si="14"/>
        <v>552.17999999999995</v>
      </c>
      <c r="M33" s="2"/>
      <c r="N33" s="6">
        <f t="shared" si="15"/>
        <v>0</v>
      </c>
      <c r="O33" s="11"/>
      <c r="P33" s="7">
        <v>1985.82</v>
      </c>
      <c r="Q33" s="2"/>
      <c r="R33" s="6">
        <f t="shared" si="16"/>
        <v>9.7291194098974697E-3</v>
      </c>
      <c r="S33" s="2"/>
      <c r="T33" s="7"/>
      <c r="U33" s="2"/>
      <c r="V33" s="6">
        <f t="shared" si="17"/>
        <v>0</v>
      </c>
      <c r="W33" s="2"/>
      <c r="X33" s="7">
        <f t="shared" si="18"/>
        <v>1985.82</v>
      </c>
      <c r="Y33" s="2"/>
      <c r="Z33" s="6">
        <f t="shared" si="19"/>
        <v>0</v>
      </c>
    </row>
    <row r="34" spans="1:26" s="24" customFormat="1" hidden="1" outlineLevel="2" x14ac:dyDescent="0.25">
      <c r="A34" s="29"/>
      <c r="B34" s="11" t="str">
        <f>CONCATENATE("          ", "6118", " - ", "VACATION")</f>
        <v xml:space="preserve">          6118 - VACATION</v>
      </c>
      <c r="C34" s="11"/>
      <c r="D34" s="7">
        <v>1644.87</v>
      </c>
      <c r="E34" s="2"/>
      <c r="F34" s="6">
        <f t="shared" si="12"/>
        <v>1.0139861627108527E-2</v>
      </c>
      <c r="G34" s="2"/>
      <c r="H34" s="7">
        <v>1625.81538461538</v>
      </c>
      <c r="I34" s="2"/>
      <c r="J34" s="6">
        <f t="shared" si="13"/>
        <v>1.3440934065934027E-2</v>
      </c>
      <c r="K34" s="2"/>
      <c r="L34" s="7">
        <f t="shared" si="14"/>
        <v>19.054615384619865</v>
      </c>
      <c r="M34" s="2"/>
      <c r="N34" s="6">
        <f t="shared" si="15"/>
        <v>1.1720036336799473E-2</v>
      </c>
      <c r="O34" s="11"/>
      <c r="P34" s="7">
        <v>4234.54</v>
      </c>
      <c r="Q34" s="2"/>
      <c r="R34" s="6">
        <f t="shared" si="16"/>
        <v>2.0746263662359748E-2</v>
      </c>
      <c r="S34" s="2"/>
      <c r="T34" s="7">
        <v>5283.8999999999896</v>
      </c>
      <c r="U34" s="2"/>
      <c r="V34" s="6">
        <f t="shared" si="17"/>
        <v>3.4946428571428503E-2</v>
      </c>
      <c r="W34" s="2"/>
      <c r="X34" s="7">
        <f t="shared" si="18"/>
        <v>-1049.3599999999897</v>
      </c>
      <c r="Y34" s="2"/>
      <c r="Z34" s="6">
        <f t="shared" si="19"/>
        <v>-0.19859573421147103</v>
      </c>
    </row>
    <row r="35" spans="1:26" s="24" customFormat="1" hidden="1" outlineLevel="2" x14ac:dyDescent="0.25">
      <c r="A35" s="29"/>
      <c r="B35" s="11" t="str">
        <f>CONCATENATE("          ", "6119", " - ", "SICK LEAVE")</f>
        <v xml:space="preserve">          6119 - SICK LEAVE</v>
      </c>
      <c r="C35" s="11"/>
      <c r="D35" s="7">
        <v>1459.52</v>
      </c>
      <c r="E35" s="2"/>
      <c r="F35" s="6">
        <f t="shared" si="12"/>
        <v>8.9972647333816276E-3</v>
      </c>
      <c r="G35" s="2"/>
      <c r="H35" s="7">
        <v>2230.1353846153802</v>
      </c>
      <c r="I35" s="2"/>
      <c r="J35" s="6">
        <f t="shared" si="13"/>
        <v>1.8436965811965775E-2</v>
      </c>
      <c r="K35" s="2"/>
      <c r="L35" s="7">
        <f t="shared" si="14"/>
        <v>-770.61538461538021</v>
      </c>
      <c r="M35" s="2"/>
      <c r="N35" s="6">
        <f t="shared" si="15"/>
        <v>-0.34554645871792405</v>
      </c>
      <c r="O35" s="11"/>
      <c r="P35" s="7">
        <v>3481.35</v>
      </c>
      <c r="Q35" s="2"/>
      <c r="R35" s="6">
        <f t="shared" si="16"/>
        <v>1.7056163125382238E-2</v>
      </c>
      <c r="S35" s="2"/>
      <c r="T35" s="7">
        <v>5085.8399999999901</v>
      </c>
      <c r="U35" s="2"/>
      <c r="V35" s="6">
        <f t="shared" si="17"/>
        <v>3.3636507936507874E-2</v>
      </c>
      <c r="W35" s="2"/>
      <c r="X35" s="7">
        <f t="shared" si="18"/>
        <v>-1604.4899999999902</v>
      </c>
      <c r="Y35" s="2"/>
      <c r="Z35" s="6">
        <f t="shared" si="19"/>
        <v>-0.31548180831484934</v>
      </c>
    </row>
    <row r="36" spans="1:26" s="24" customFormat="1" hidden="1" outlineLevel="2" x14ac:dyDescent="0.25">
      <c r="A36" s="29"/>
      <c r="B36" s="11" t="str">
        <f>CONCATENATE("          ", "6156", " - ", "EMPLOYEE MEALS")</f>
        <v xml:space="preserve">          6156 - EMPLOYEE MEALS</v>
      </c>
      <c r="C36" s="11"/>
      <c r="D36" s="7">
        <v>1141.6099999999999</v>
      </c>
      <c r="E36" s="2"/>
      <c r="F36" s="6">
        <f t="shared" si="12"/>
        <v>7.0374968429865979E-3</v>
      </c>
      <c r="G36" s="2"/>
      <c r="H36" s="7">
        <v>1925</v>
      </c>
      <c r="I36" s="2"/>
      <c r="J36" s="6">
        <f t="shared" si="13"/>
        <v>1.5914351851851853E-2</v>
      </c>
      <c r="K36" s="2"/>
      <c r="L36" s="7">
        <f t="shared" si="14"/>
        <v>-783.3900000000001</v>
      </c>
      <c r="M36" s="2"/>
      <c r="N36" s="6">
        <f t="shared" si="15"/>
        <v>-0.40695584415584418</v>
      </c>
      <c r="O36" s="11"/>
      <c r="P36" s="7">
        <v>2620.06</v>
      </c>
      <c r="Q36" s="2"/>
      <c r="R36" s="6">
        <f t="shared" si="16"/>
        <v>1.283644872198687E-2</v>
      </c>
      <c r="S36" s="2"/>
      <c r="T36" s="7">
        <v>5775</v>
      </c>
      <c r="U36" s="2"/>
      <c r="V36" s="6">
        <f t="shared" si="17"/>
        <v>3.8194444444444448E-2</v>
      </c>
      <c r="W36" s="2"/>
      <c r="X36" s="7">
        <f t="shared" si="18"/>
        <v>-3154.94</v>
      </c>
      <c r="Y36" s="2"/>
      <c r="Z36" s="6">
        <f t="shared" si="19"/>
        <v>-0.54630995670995675</v>
      </c>
    </row>
    <row r="37" spans="1:26" s="28" customFormat="1" outlineLevel="1" collapsed="1" x14ac:dyDescent="0.25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68381.959999999992</v>
      </c>
      <c r="E37" s="1"/>
      <c r="F37" s="5">
        <f t="shared" ref="F37:F47" si="20">IF(D$12=0,0,D37/D$12)</f>
        <v>0.42154310808177559</v>
      </c>
      <c r="G37" s="1"/>
      <c r="H37" s="1">
        <f>SUM(OSRRefH22_1x_0)</f>
        <v>70481.895384615374</v>
      </c>
      <c r="I37" s="1"/>
      <c r="J37" s="5">
        <f t="shared" ref="J37:J47" si="21">IF(H$12=0,0,H37/H$12)</f>
        <v>0.58268762718762712</v>
      </c>
      <c r="K37" s="1"/>
      <c r="L37" s="1">
        <f t="shared" ref="L37:L47" si="22">+D37-H37</f>
        <v>-2099.9353846153826</v>
      </c>
      <c r="M37" s="1"/>
      <c r="N37" s="5">
        <f t="shared" ref="N37:N47" si="23">IF(H37=0,0,L37/H37)</f>
        <v>-2.9793968694459255E-2</v>
      </c>
      <c r="O37" s="14"/>
      <c r="P37" s="1">
        <f>SUM(OSRRefP22_1x_0)</f>
        <v>121310.35999999999</v>
      </c>
      <c r="Q37" s="1"/>
      <c r="R37" s="5">
        <f t="shared" ref="R37:R47" si="24">IF(P$12=0,0,P37/P$12)</f>
        <v>0.59433532651380772</v>
      </c>
      <c r="S37" s="1"/>
      <c r="T37" s="1">
        <f>SUM(OSRRefT22_1x_0)</f>
        <v>159158.26</v>
      </c>
      <c r="U37" s="1"/>
      <c r="V37" s="5">
        <f t="shared" ref="V37:V47" si="25">IF(T$12=0,0,T37/T$12)</f>
        <v>1.0526339947089949</v>
      </c>
      <c r="W37" s="1"/>
      <c r="X37" s="1">
        <f t="shared" ref="X37:X47" si="26">+P37-T37</f>
        <v>-37847.900000000023</v>
      </c>
      <c r="Y37" s="1"/>
      <c r="Z37" s="5">
        <f t="shared" ref="Z37:Z47" si="27">IF(T37=0,0,X37/T37)</f>
        <v>-0.23780041324905174</v>
      </c>
    </row>
    <row r="38" spans="1:26" s="24" customFormat="1" hidden="1" outlineLevel="2" x14ac:dyDescent="0.25">
      <c r="A38" s="29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"6002", " - ", "STAFF SALARIES")</f>
        <v xml:space="preserve">          6002 - STAFF SALARIES</v>
      </c>
      <c r="C39" s="11"/>
      <c r="D39" s="7">
        <v>8136.36</v>
      </c>
      <c r="E39" s="2"/>
      <c r="F39" s="6">
        <f t="shared" si="20"/>
        <v>5.0156890543532763E-2</v>
      </c>
      <c r="G39" s="2"/>
      <c r="H39" s="7">
        <v>4468.6153846153802</v>
      </c>
      <c r="I39" s="2"/>
      <c r="J39" s="6">
        <f t="shared" si="21"/>
        <v>3.6942918192918159E-2</v>
      </c>
      <c r="K39" s="2"/>
      <c r="L39" s="7">
        <f t="shared" si="22"/>
        <v>3667.7446153846195</v>
      </c>
      <c r="M39" s="2"/>
      <c r="N39" s="6">
        <f t="shared" si="23"/>
        <v>0.82077876471803524</v>
      </c>
      <c r="O39" s="11"/>
      <c r="P39" s="7">
        <v>18555.75</v>
      </c>
      <c r="Q39" s="2"/>
      <c r="R39" s="6">
        <f t="shared" si="24"/>
        <v>9.0910106399474763E-2</v>
      </c>
      <c r="S39" s="2"/>
      <c r="T39" s="7">
        <v>14523</v>
      </c>
      <c r="U39" s="2"/>
      <c r="V39" s="6">
        <f t="shared" si="25"/>
        <v>9.6051587301587305E-2</v>
      </c>
      <c r="W39" s="2"/>
      <c r="X39" s="7">
        <f t="shared" si="26"/>
        <v>4032.75</v>
      </c>
      <c r="Y39" s="2"/>
      <c r="Z39" s="6">
        <f t="shared" si="27"/>
        <v>0.27768023135715764</v>
      </c>
    </row>
    <row r="40" spans="1:26" s="24" customFormat="1" hidden="1" outlineLevel="2" x14ac:dyDescent="0.25">
      <c r="A40" s="29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9"/>
      <c r="B41" s="11" t="str">
        <f>CONCATENATE("          ", "6004", " - ", "STAFF HOURLY")</f>
        <v xml:space="preserve">          6004 - STAFF HOURLY</v>
      </c>
      <c r="C41" s="11"/>
      <c r="D41" s="7">
        <v>35436.99</v>
      </c>
      <c r="E41" s="2"/>
      <c r="F41" s="6">
        <f t="shared" si="20"/>
        <v>0.21845262852458164</v>
      </c>
      <c r="G41" s="2"/>
      <c r="H41" s="7">
        <v>27290.880000000001</v>
      </c>
      <c r="I41" s="2"/>
      <c r="J41" s="6">
        <f t="shared" si="21"/>
        <v>0.22561904761904764</v>
      </c>
      <c r="K41" s="2"/>
      <c r="L41" s="7">
        <f t="shared" si="22"/>
        <v>8146.1099999999969</v>
      </c>
      <c r="M41" s="2"/>
      <c r="N41" s="6">
        <f t="shared" si="23"/>
        <v>0.29849202370901917</v>
      </c>
      <c r="O41" s="11"/>
      <c r="P41" s="7">
        <v>62681.46</v>
      </c>
      <c r="Q41" s="2"/>
      <c r="R41" s="6">
        <f t="shared" si="24"/>
        <v>0.30709500817129037</v>
      </c>
      <c r="S41" s="2"/>
      <c r="T41" s="7">
        <v>88695.360000000001</v>
      </c>
      <c r="U41" s="2"/>
      <c r="V41" s="6">
        <f t="shared" si="25"/>
        <v>0.5866095238095238</v>
      </c>
      <c r="W41" s="2"/>
      <c r="X41" s="7">
        <f t="shared" si="26"/>
        <v>-26013.9</v>
      </c>
      <c r="Y41" s="2"/>
      <c r="Z41" s="6">
        <f t="shared" si="27"/>
        <v>-0.29329493673626222</v>
      </c>
    </row>
    <row r="42" spans="1:26" s="24" customFormat="1" hidden="1" outlineLevel="2" x14ac:dyDescent="0.25">
      <c r="A42" s="29"/>
      <c r="B42" s="11" t="str">
        <f>CONCATENATE("          ", "6005", " - ", "TEMPORARY WAGES-HOURLY")</f>
        <v xml:space="preserve">          6005 - TEMPORARY WAGES-HOURLY</v>
      </c>
      <c r="C42" s="11"/>
      <c r="D42" s="7">
        <v>10505.25</v>
      </c>
      <c r="E42" s="2"/>
      <c r="F42" s="6">
        <f t="shared" si="20"/>
        <v>6.4760000096166781E-2</v>
      </c>
      <c r="G42" s="2"/>
      <c r="H42" s="7">
        <v>7760</v>
      </c>
      <c r="I42" s="2"/>
      <c r="J42" s="6">
        <f t="shared" si="21"/>
        <v>6.4153439153439157E-2</v>
      </c>
      <c r="K42" s="2"/>
      <c r="L42" s="7">
        <f t="shared" si="22"/>
        <v>2745.25</v>
      </c>
      <c r="M42" s="2"/>
      <c r="N42" s="6">
        <f t="shared" si="23"/>
        <v>0.35376932989690724</v>
      </c>
      <c r="O42" s="11"/>
      <c r="P42" s="7">
        <v>11912.93</v>
      </c>
      <c r="Q42" s="2"/>
      <c r="R42" s="6">
        <f t="shared" si="24"/>
        <v>5.8364966860918854E-2</v>
      </c>
      <c r="S42" s="2"/>
      <c r="T42" s="7">
        <v>12416</v>
      </c>
      <c r="U42" s="2"/>
      <c r="V42" s="6">
        <f t="shared" si="25"/>
        <v>8.2116402116402115E-2</v>
      </c>
      <c r="W42" s="2"/>
      <c r="X42" s="7">
        <f t="shared" si="26"/>
        <v>-503.06999999999971</v>
      </c>
      <c r="Y42" s="2"/>
      <c r="Z42" s="6">
        <f t="shared" si="27"/>
        <v>-4.0517880154639155E-2</v>
      </c>
    </row>
    <row r="43" spans="1:26" s="24" customFormat="1" hidden="1" outlineLevel="2" x14ac:dyDescent="0.25">
      <c r="A43" s="29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9"/>
      <c r="B44" s="11" t="str">
        <f>CONCATENATE("          ", "6007", " - ", "STUDENT HOURLY")</f>
        <v xml:space="preserve">          6007 - STUDENT HOURLY</v>
      </c>
      <c r="C44" s="11"/>
      <c r="D44" s="7">
        <v>13245.38</v>
      </c>
      <c r="E44" s="2"/>
      <c r="F44" s="6">
        <f t="shared" si="20"/>
        <v>8.1651632286120324E-2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13245.38</v>
      </c>
      <c r="M44" s="2"/>
      <c r="N44" s="6">
        <f t="shared" si="23"/>
        <v>0</v>
      </c>
      <c r="O44" s="11"/>
      <c r="P44" s="7">
        <v>27102.240000000002</v>
      </c>
      <c r="Q44" s="2"/>
      <c r="R44" s="6">
        <f t="shared" si="24"/>
        <v>0.13278188820522485</v>
      </c>
      <c r="S44" s="2"/>
      <c r="T44" s="7">
        <v>12561.5</v>
      </c>
      <c r="U44" s="2"/>
      <c r="V44" s="6">
        <f t="shared" si="25"/>
        <v>8.307870370370371E-2</v>
      </c>
      <c r="W44" s="2"/>
      <c r="X44" s="7">
        <f t="shared" si="26"/>
        <v>14540.740000000002</v>
      </c>
      <c r="Y44" s="2"/>
      <c r="Z44" s="6">
        <f t="shared" si="27"/>
        <v>1.1575639851928512</v>
      </c>
    </row>
    <row r="45" spans="1:26" s="24" customFormat="1" hidden="1" outlineLevel="2" x14ac:dyDescent="0.25">
      <c r="A45" s="29"/>
      <c r="B45" s="11" t="str">
        <f>CONCATENATE("          ", "6008", " - ", "STUDENT HOURLY-FICA EXEMPT")</f>
        <v xml:space="preserve">          6008 - STUDENT HOURLY-FICA EXEMPT</v>
      </c>
      <c r="C45" s="11"/>
      <c r="D45" s="7">
        <v>1057.98</v>
      </c>
      <c r="E45" s="2"/>
      <c r="F45" s="6">
        <f t="shared" si="20"/>
        <v>6.5219566313740786E-3</v>
      </c>
      <c r="G45" s="2"/>
      <c r="H45" s="7">
        <v>30962.400000000001</v>
      </c>
      <c r="I45" s="2"/>
      <c r="J45" s="6">
        <f t="shared" si="21"/>
        <v>0.25597222222222221</v>
      </c>
      <c r="K45" s="2"/>
      <c r="L45" s="7">
        <f t="shared" si="22"/>
        <v>-29904.420000000002</v>
      </c>
      <c r="M45" s="2"/>
      <c r="N45" s="6">
        <f t="shared" si="23"/>
        <v>-0.96583016820401524</v>
      </c>
      <c r="O45" s="11"/>
      <c r="P45" s="7">
        <v>1057.98</v>
      </c>
      <c r="Q45" s="2"/>
      <c r="R45" s="6">
        <f t="shared" si="24"/>
        <v>5.1833568768988756E-3</v>
      </c>
      <c r="S45" s="2"/>
      <c r="T45" s="7">
        <v>30962.400000000001</v>
      </c>
      <c r="U45" s="2"/>
      <c r="V45" s="6">
        <f t="shared" si="25"/>
        <v>0.20477777777777778</v>
      </c>
      <c r="W45" s="2"/>
      <c r="X45" s="7">
        <f t="shared" si="26"/>
        <v>-29904.420000000002</v>
      </c>
      <c r="Y45" s="2"/>
      <c r="Z45" s="6">
        <f t="shared" si="27"/>
        <v>-0.96583016820401524</v>
      </c>
    </row>
    <row r="46" spans="1:26" s="24" customFormat="1" hidden="1" outlineLevel="2" x14ac:dyDescent="0.25">
      <c r="A46" s="29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9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8" customFormat="1" outlineLevel="1" collapsed="1" x14ac:dyDescent="0.25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92.54</v>
      </c>
      <c r="E48" s="1"/>
      <c r="F48" s="5">
        <f t="shared" ref="F48:F69" si="28">IF(D$12=0,0,D48/D$12)</f>
        <v>5.7046623439701812E-4</v>
      </c>
      <c r="G48" s="1"/>
      <c r="H48" s="1">
        <f>SUM(OSRRefH22_2x_0)</f>
        <v>350</v>
      </c>
      <c r="I48" s="1"/>
      <c r="J48" s="5">
        <f t="shared" ref="J48:J69" si="29">IF(H$12=0,0,H48/H$12)</f>
        <v>2.8935185185185184E-3</v>
      </c>
      <c r="K48" s="1"/>
      <c r="L48" s="1">
        <f t="shared" ref="L48:L69" si="30">+D48-H48</f>
        <v>-257.45999999999998</v>
      </c>
      <c r="M48" s="1"/>
      <c r="N48" s="5">
        <f t="shared" ref="N48:N69" si="31">IF(H48=0,0,L48/H48)</f>
        <v>-0.73559999999999992</v>
      </c>
      <c r="O48" s="14"/>
      <c r="P48" s="1">
        <f>SUM(OSRRefP22_2x_0)</f>
        <v>855.27</v>
      </c>
      <c r="Q48" s="1"/>
      <c r="R48" s="5">
        <f t="shared" ref="R48:R69" si="32">IF(P$12=0,0,P48/P$12)</f>
        <v>4.1902206432118767E-3</v>
      </c>
      <c r="S48" s="1"/>
      <c r="T48" s="1">
        <f>SUM(OSRRefT22_2x_0)</f>
        <v>1050</v>
      </c>
      <c r="U48" s="1"/>
      <c r="V48" s="5">
        <f t="shared" ref="V48:V69" si="33">IF(T$12=0,0,T48/T$12)</f>
        <v>6.9444444444444441E-3</v>
      </c>
      <c r="W48" s="1"/>
      <c r="X48" s="1">
        <f t="shared" ref="X48:X69" si="34">+P48-T48</f>
        <v>-194.73000000000002</v>
      </c>
      <c r="Y48" s="1"/>
      <c r="Z48" s="5">
        <f t="shared" ref="Z48:Z69" si="35">IF(T48=0,0,X48/T48)</f>
        <v>-0.18545714285714288</v>
      </c>
    </row>
    <row r="49" spans="1:26" s="24" customFormat="1" hidden="1" outlineLevel="2" x14ac:dyDescent="0.25">
      <c r="A49" s="29"/>
      <c r="B49" s="11" t="str">
        <f>CONCATENATE("          ", "6362", " - ", "ADVERTISING EXPENSE")</f>
        <v xml:space="preserve">          6362 - ADVERTISING EXPENSE</v>
      </c>
      <c r="C49" s="11"/>
      <c r="D49" s="7">
        <v>92.54</v>
      </c>
      <c r="E49" s="2"/>
      <c r="F49" s="6">
        <f t="shared" si="28"/>
        <v>5.7046623439701812E-4</v>
      </c>
      <c r="G49" s="2"/>
      <c r="H49" s="7">
        <v>350</v>
      </c>
      <c r="I49" s="2"/>
      <c r="J49" s="6">
        <f t="shared" si="29"/>
        <v>2.8935185185185184E-3</v>
      </c>
      <c r="K49" s="2"/>
      <c r="L49" s="7">
        <f t="shared" si="30"/>
        <v>-257.45999999999998</v>
      </c>
      <c r="M49" s="2"/>
      <c r="N49" s="6">
        <f t="shared" si="31"/>
        <v>-0.73559999999999992</v>
      </c>
      <c r="O49" s="11"/>
      <c r="P49" s="7">
        <v>855.27</v>
      </c>
      <c r="Q49" s="2"/>
      <c r="R49" s="6">
        <f t="shared" si="32"/>
        <v>4.1902206432118767E-3</v>
      </c>
      <c r="S49" s="2"/>
      <c r="T49" s="7">
        <v>1050</v>
      </c>
      <c r="U49" s="2"/>
      <c r="V49" s="6">
        <f t="shared" si="33"/>
        <v>6.9444444444444441E-3</v>
      </c>
      <c r="W49" s="2"/>
      <c r="X49" s="7">
        <f t="shared" si="34"/>
        <v>-194.73000000000002</v>
      </c>
      <c r="Y49" s="2"/>
      <c r="Z49" s="6">
        <f t="shared" si="35"/>
        <v>-0.18545714285714288</v>
      </c>
    </row>
    <row r="50" spans="1:26" s="28" customFormat="1" outlineLevel="1" collapsed="1" x14ac:dyDescent="0.25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10</v>
      </c>
      <c r="I50" s="1"/>
      <c r="J50" s="5">
        <f t="shared" si="29"/>
        <v>8.2671957671957667E-5</v>
      </c>
      <c r="K50" s="1"/>
      <c r="L50" s="1">
        <f t="shared" si="30"/>
        <v>-10</v>
      </c>
      <c r="M50" s="1"/>
      <c r="N50" s="5">
        <f t="shared" si="31"/>
        <v>-1</v>
      </c>
      <c r="O50" s="14"/>
      <c r="P50" s="1">
        <f>SUM(OSRRefP22_3x_0)</f>
        <v>0</v>
      </c>
      <c r="Q50" s="1"/>
      <c r="R50" s="5">
        <f t="shared" si="32"/>
        <v>0</v>
      </c>
      <c r="S50" s="1"/>
      <c r="T50" s="1">
        <f>SUM(OSRRefT22_3x_0)</f>
        <v>20</v>
      </c>
      <c r="U50" s="1"/>
      <c r="V50" s="5">
        <f t="shared" si="33"/>
        <v>1.3227513227513228E-4</v>
      </c>
      <c r="W50" s="1"/>
      <c r="X50" s="1">
        <f t="shared" si="34"/>
        <v>-20</v>
      </c>
      <c r="Y50" s="1"/>
      <c r="Z50" s="5">
        <f t="shared" si="35"/>
        <v>-1</v>
      </c>
    </row>
    <row r="51" spans="1:26" s="24" customFormat="1" hidden="1" outlineLevel="2" x14ac:dyDescent="0.25">
      <c r="A51" s="29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8"/>
        <v>0</v>
      </c>
      <c r="G51" s="2"/>
      <c r="H51" s="7">
        <v>10</v>
      </c>
      <c r="I51" s="2"/>
      <c r="J51" s="6">
        <f t="shared" si="29"/>
        <v>8.2671957671957667E-5</v>
      </c>
      <c r="K51" s="2"/>
      <c r="L51" s="7">
        <f t="shared" si="30"/>
        <v>-10</v>
      </c>
      <c r="M51" s="2"/>
      <c r="N51" s="6">
        <f t="shared" si="31"/>
        <v>-1</v>
      </c>
      <c r="O51" s="11"/>
      <c r="P51" s="7"/>
      <c r="Q51" s="2"/>
      <c r="R51" s="6">
        <f t="shared" si="32"/>
        <v>0</v>
      </c>
      <c r="S51" s="2"/>
      <c r="T51" s="7">
        <v>20</v>
      </c>
      <c r="U51" s="2"/>
      <c r="V51" s="6">
        <f t="shared" si="33"/>
        <v>1.3227513227513228E-4</v>
      </c>
      <c r="W51" s="2"/>
      <c r="X51" s="7">
        <f t="shared" si="34"/>
        <v>-20</v>
      </c>
      <c r="Y51" s="2"/>
      <c r="Z51" s="6">
        <f t="shared" si="35"/>
        <v>-1</v>
      </c>
    </row>
    <row r="52" spans="1:26" s="28" customFormat="1" outlineLevel="1" collapsed="1" x14ac:dyDescent="0.25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54.14</v>
      </c>
      <c r="E52" s="1"/>
      <c r="F52" s="5">
        <f t="shared" si="28"/>
        <v>3.3374802172308793E-4</v>
      </c>
      <c r="G52" s="1"/>
      <c r="H52" s="1">
        <f>SUM(OSRRefH22_4x_0)</f>
        <v>25</v>
      </c>
      <c r="I52" s="1"/>
      <c r="J52" s="5">
        <f t="shared" si="29"/>
        <v>2.0667989417989417E-4</v>
      </c>
      <c r="K52" s="1"/>
      <c r="L52" s="1">
        <f t="shared" si="30"/>
        <v>29.14</v>
      </c>
      <c r="M52" s="1"/>
      <c r="N52" s="5">
        <f t="shared" si="31"/>
        <v>1.1656</v>
      </c>
      <c r="O52" s="14"/>
      <c r="P52" s="1">
        <f>SUM(OSRRefP22_4x_0)</f>
        <v>94.7</v>
      </c>
      <c r="Q52" s="1"/>
      <c r="R52" s="5">
        <f t="shared" si="32"/>
        <v>4.6396330388317694E-4</v>
      </c>
      <c r="S52" s="1"/>
      <c r="T52" s="1">
        <f>SUM(OSRRefT22_4x_0)</f>
        <v>50</v>
      </c>
      <c r="U52" s="1"/>
      <c r="V52" s="5">
        <f t="shared" si="33"/>
        <v>3.3068783068783067E-4</v>
      </c>
      <c r="W52" s="1"/>
      <c r="X52" s="1">
        <f t="shared" si="34"/>
        <v>44.7</v>
      </c>
      <c r="Y52" s="1"/>
      <c r="Z52" s="5">
        <f t="shared" si="35"/>
        <v>0.89400000000000002</v>
      </c>
    </row>
    <row r="53" spans="1:26" s="24" customFormat="1" hidden="1" outlineLevel="2" x14ac:dyDescent="0.25">
      <c r="A53" s="29"/>
      <c r="B53" s="11" t="str">
        <f>CONCATENATE("          ", "6381", " - ", "BANK/CREDIT CARD FEES")</f>
        <v xml:space="preserve">          6381 - BANK/CREDIT CARD FEES</v>
      </c>
      <c r="C53" s="11"/>
      <c r="D53" s="7">
        <v>54.14</v>
      </c>
      <c r="E53" s="2"/>
      <c r="F53" s="6">
        <f t="shared" si="28"/>
        <v>3.3374802172308793E-4</v>
      </c>
      <c r="G53" s="2"/>
      <c r="H53" s="7">
        <v>25</v>
      </c>
      <c r="I53" s="2"/>
      <c r="J53" s="6">
        <f t="shared" si="29"/>
        <v>2.0667989417989417E-4</v>
      </c>
      <c r="K53" s="2"/>
      <c r="L53" s="7">
        <f t="shared" si="30"/>
        <v>29.14</v>
      </c>
      <c r="M53" s="2"/>
      <c r="N53" s="6">
        <f t="shared" si="31"/>
        <v>1.1656</v>
      </c>
      <c r="O53" s="11"/>
      <c r="P53" s="7">
        <v>94.7</v>
      </c>
      <c r="Q53" s="2"/>
      <c r="R53" s="6">
        <f t="shared" si="32"/>
        <v>4.6396330388317694E-4</v>
      </c>
      <c r="S53" s="2"/>
      <c r="T53" s="7">
        <v>50</v>
      </c>
      <c r="U53" s="2"/>
      <c r="V53" s="6">
        <f t="shared" si="33"/>
        <v>3.3068783068783067E-4</v>
      </c>
      <c r="W53" s="2"/>
      <c r="X53" s="7">
        <f t="shared" si="34"/>
        <v>44.7</v>
      </c>
      <c r="Y53" s="2"/>
      <c r="Z53" s="6">
        <f t="shared" si="35"/>
        <v>0.89400000000000002</v>
      </c>
    </row>
    <row r="54" spans="1:26" s="28" customFormat="1" outlineLevel="1" collapsed="1" x14ac:dyDescent="0.25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213.02</v>
      </c>
      <c r="E54" s="1"/>
      <c r="F54" s="5">
        <f t="shared" si="28"/>
        <v>1.3131696266614739E-3</v>
      </c>
      <c r="G54" s="1"/>
      <c r="H54" s="1">
        <f>SUM(OSRRefH22_5x_0)</f>
        <v>213</v>
      </c>
      <c r="I54" s="1"/>
      <c r="J54" s="5">
        <f t="shared" si="29"/>
        <v>1.7609126984126984E-3</v>
      </c>
      <c r="K54" s="1"/>
      <c r="L54" s="1">
        <f t="shared" si="30"/>
        <v>2.0000000000010232E-2</v>
      </c>
      <c r="M54" s="1"/>
      <c r="N54" s="5">
        <f t="shared" si="31"/>
        <v>9.3896713615071505E-5</v>
      </c>
      <c r="O54" s="14"/>
      <c r="P54" s="1">
        <f>SUM(OSRRefP22_5x_0)</f>
        <v>639.05999999999995</v>
      </c>
      <c r="Q54" s="1"/>
      <c r="R54" s="5">
        <f t="shared" si="32"/>
        <v>3.1309439174190394E-3</v>
      </c>
      <c r="S54" s="1"/>
      <c r="T54" s="1">
        <f>SUM(OSRRefT22_5x_0)</f>
        <v>639</v>
      </c>
      <c r="U54" s="1"/>
      <c r="V54" s="5">
        <f t="shared" si="33"/>
        <v>4.2261904761904763E-3</v>
      </c>
      <c r="W54" s="1"/>
      <c r="X54" s="1">
        <f t="shared" si="34"/>
        <v>5.999999999994543E-2</v>
      </c>
      <c r="Y54" s="1"/>
      <c r="Z54" s="5">
        <f t="shared" si="35"/>
        <v>9.389671361493808E-5</v>
      </c>
    </row>
    <row r="55" spans="1:26" s="24" customFormat="1" hidden="1" outlineLevel="2" x14ac:dyDescent="0.25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213.02</v>
      </c>
      <c r="E55" s="2"/>
      <c r="F55" s="6">
        <f t="shared" si="28"/>
        <v>1.3131696266614739E-3</v>
      </c>
      <c r="G55" s="2"/>
      <c r="H55" s="7">
        <v>213</v>
      </c>
      <c r="I55" s="2"/>
      <c r="J55" s="6">
        <f t="shared" si="29"/>
        <v>1.7609126984126984E-3</v>
      </c>
      <c r="K55" s="2"/>
      <c r="L55" s="7">
        <f t="shared" si="30"/>
        <v>2.0000000000010232E-2</v>
      </c>
      <c r="M55" s="2"/>
      <c r="N55" s="6">
        <f t="shared" si="31"/>
        <v>9.3896713615071505E-5</v>
      </c>
      <c r="O55" s="11"/>
      <c r="P55" s="7">
        <v>639.05999999999995</v>
      </c>
      <c r="Q55" s="2"/>
      <c r="R55" s="6">
        <f t="shared" si="32"/>
        <v>3.1309439174190394E-3</v>
      </c>
      <c r="S55" s="2"/>
      <c r="T55" s="7">
        <v>639</v>
      </c>
      <c r="U55" s="2"/>
      <c r="V55" s="6">
        <f t="shared" si="33"/>
        <v>4.2261904761904763E-3</v>
      </c>
      <c r="W55" s="2"/>
      <c r="X55" s="7">
        <f t="shared" si="34"/>
        <v>5.999999999994543E-2</v>
      </c>
      <c r="Y55" s="2"/>
      <c r="Z55" s="6">
        <f t="shared" si="35"/>
        <v>9.389671361493808E-5</v>
      </c>
    </row>
    <row r="56" spans="1:26" s="28" customFormat="1" outlineLevel="1" collapsed="1" x14ac:dyDescent="0.25">
      <c r="A56" s="27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1854.43</v>
      </c>
      <c r="E56" s="1"/>
      <c r="F56" s="5">
        <f t="shared" si="28"/>
        <v>1.1431701956482195E-2</v>
      </c>
      <c r="G56" s="1"/>
      <c r="H56" s="1">
        <f>SUM(OSRRefH22_6x_0)</f>
        <v>3000</v>
      </c>
      <c r="I56" s="1"/>
      <c r="J56" s="5">
        <f t="shared" si="29"/>
        <v>2.48015873015873E-2</v>
      </c>
      <c r="K56" s="1"/>
      <c r="L56" s="1">
        <f t="shared" si="30"/>
        <v>-1145.57</v>
      </c>
      <c r="M56" s="1"/>
      <c r="N56" s="5">
        <f t="shared" si="31"/>
        <v>-0.38185666666666662</v>
      </c>
      <c r="O56" s="14"/>
      <c r="P56" s="1">
        <f>SUM(OSRRefP22_6x_0)</f>
        <v>2516.73</v>
      </c>
      <c r="Q56" s="1"/>
      <c r="R56" s="5">
        <f t="shared" si="32"/>
        <v>1.2330204496113072E-2</v>
      </c>
      <c r="S56" s="1"/>
      <c r="T56" s="1">
        <f>SUM(OSRRefT22_6x_0)</f>
        <v>6000</v>
      </c>
      <c r="U56" s="1"/>
      <c r="V56" s="5">
        <f t="shared" si="33"/>
        <v>3.968253968253968E-2</v>
      </c>
      <c r="W56" s="1"/>
      <c r="X56" s="1">
        <f t="shared" si="34"/>
        <v>-3483.27</v>
      </c>
      <c r="Y56" s="1"/>
      <c r="Z56" s="5">
        <f t="shared" si="35"/>
        <v>-0.58054499999999998</v>
      </c>
    </row>
    <row r="57" spans="1:26" s="24" customFormat="1" hidden="1" outlineLevel="2" x14ac:dyDescent="0.25">
      <c r="A57" s="29"/>
      <c r="B57" s="11" t="str">
        <f>CONCATENATE("          ", "6399", " - ", "DONATION-ON CAMPUS")</f>
        <v xml:space="preserve">          6399 - DONATION-ON CAMPUS</v>
      </c>
      <c r="C57" s="11"/>
      <c r="D57" s="7">
        <v>1854.43</v>
      </c>
      <c r="E57" s="2"/>
      <c r="F57" s="6">
        <f t="shared" si="28"/>
        <v>1.1431701956482195E-2</v>
      </c>
      <c r="G57" s="2"/>
      <c r="H57" s="7">
        <v>3000</v>
      </c>
      <c r="I57" s="2"/>
      <c r="J57" s="6">
        <f t="shared" si="29"/>
        <v>2.48015873015873E-2</v>
      </c>
      <c r="K57" s="2"/>
      <c r="L57" s="7">
        <f t="shared" si="30"/>
        <v>-1145.57</v>
      </c>
      <c r="M57" s="2"/>
      <c r="N57" s="6">
        <f t="shared" si="31"/>
        <v>-0.38185666666666662</v>
      </c>
      <c r="O57" s="11"/>
      <c r="P57" s="7">
        <v>2516.73</v>
      </c>
      <c r="Q57" s="2"/>
      <c r="R57" s="6">
        <f t="shared" si="32"/>
        <v>1.2330204496113072E-2</v>
      </c>
      <c r="S57" s="2"/>
      <c r="T57" s="7">
        <v>6000</v>
      </c>
      <c r="U57" s="2"/>
      <c r="V57" s="6">
        <f t="shared" si="33"/>
        <v>3.968253968253968E-2</v>
      </c>
      <c r="W57" s="2"/>
      <c r="X57" s="7">
        <f t="shared" si="34"/>
        <v>-3483.27</v>
      </c>
      <c r="Y57" s="2"/>
      <c r="Z57" s="6">
        <f t="shared" si="35"/>
        <v>-0.58054499999999998</v>
      </c>
    </row>
    <row r="58" spans="1:26" s="28" customFormat="1" outlineLevel="1" collapsed="1" x14ac:dyDescent="0.25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14.49</v>
      </c>
      <c r="E58" s="1"/>
      <c r="F58" s="5">
        <f t="shared" si="28"/>
        <v>8.9324138063678329E-5</v>
      </c>
      <c r="G58" s="1"/>
      <c r="H58" s="1">
        <f>SUM(OSRRefH22_7x_0)</f>
        <v>50</v>
      </c>
      <c r="I58" s="1"/>
      <c r="J58" s="5">
        <f t="shared" si="29"/>
        <v>4.1335978835978834E-4</v>
      </c>
      <c r="K58" s="1"/>
      <c r="L58" s="1">
        <f t="shared" si="30"/>
        <v>-35.51</v>
      </c>
      <c r="M58" s="1"/>
      <c r="N58" s="5">
        <f t="shared" si="31"/>
        <v>-0.71019999999999994</v>
      </c>
      <c r="O58" s="14"/>
      <c r="P58" s="1">
        <f>SUM(OSRRefP22_7x_0)</f>
        <v>14.49</v>
      </c>
      <c r="Q58" s="1"/>
      <c r="R58" s="5">
        <f t="shared" si="32"/>
        <v>7.0990794860266456E-5</v>
      </c>
      <c r="S58" s="1"/>
      <c r="T58" s="1">
        <f>SUM(OSRRefT22_7x_0)</f>
        <v>150</v>
      </c>
      <c r="U58" s="1"/>
      <c r="V58" s="5">
        <f t="shared" si="33"/>
        <v>9.9206349206349201E-4</v>
      </c>
      <c r="W58" s="1"/>
      <c r="X58" s="1">
        <f t="shared" si="34"/>
        <v>-135.51</v>
      </c>
      <c r="Y58" s="1"/>
      <c r="Z58" s="5">
        <f t="shared" si="35"/>
        <v>-0.90339999999999998</v>
      </c>
    </row>
    <row r="59" spans="1:26" s="24" customFormat="1" hidden="1" outlineLevel="2" x14ac:dyDescent="0.25">
      <c r="A59" s="29"/>
      <c r="B59" s="11" t="str">
        <f>CONCATENATE("          ", "6277", " - ", "EMPLOYEE APPRECIATION")</f>
        <v xml:space="preserve">          6277 - EMPLOYEE APPRECIATION</v>
      </c>
      <c r="C59" s="11"/>
      <c r="D59" s="7">
        <v>14.49</v>
      </c>
      <c r="E59" s="2"/>
      <c r="F59" s="6">
        <f t="shared" si="28"/>
        <v>8.9324138063678329E-5</v>
      </c>
      <c r="G59" s="2"/>
      <c r="H59" s="7">
        <v>50</v>
      </c>
      <c r="I59" s="2"/>
      <c r="J59" s="6">
        <f t="shared" si="29"/>
        <v>4.1335978835978834E-4</v>
      </c>
      <c r="K59" s="2"/>
      <c r="L59" s="7">
        <f t="shared" si="30"/>
        <v>-35.51</v>
      </c>
      <c r="M59" s="2"/>
      <c r="N59" s="6">
        <f t="shared" si="31"/>
        <v>-0.71019999999999994</v>
      </c>
      <c r="O59" s="11"/>
      <c r="P59" s="7">
        <v>14.49</v>
      </c>
      <c r="Q59" s="2"/>
      <c r="R59" s="6">
        <f t="shared" si="32"/>
        <v>7.0990794860266456E-5</v>
      </c>
      <c r="S59" s="2"/>
      <c r="T59" s="7">
        <v>150</v>
      </c>
      <c r="U59" s="2"/>
      <c r="V59" s="6">
        <f t="shared" si="33"/>
        <v>9.9206349206349201E-4</v>
      </c>
      <c r="W59" s="2"/>
      <c r="X59" s="7">
        <f t="shared" si="34"/>
        <v>-135.51</v>
      </c>
      <c r="Y59" s="2"/>
      <c r="Z59" s="6">
        <f t="shared" si="35"/>
        <v>-0.90339999999999998</v>
      </c>
    </row>
    <row r="60" spans="1:26" s="28" customFormat="1" outlineLevel="1" collapsed="1" x14ac:dyDescent="0.25">
      <c r="A60" s="27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SUM(OSRRefD22_8x_0)</f>
        <v>0</v>
      </c>
      <c r="E60" s="1"/>
      <c r="F60" s="5">
        <f t="shared" si="28"/>
        <v>0</v>
      </c>
      <c r="G60" s="1"/>
      <c r="H60" s="1">
        <f>SUM(OSRRefH22_8x_0)</f>
        <v>0</v>
      </c>
      <c r="I60" s="1"/>
      <c r="J60" s="5">
        <f t="shared" si="29"/>
        <v>0</v>
      </c>
      <c r="K60" s="1"/>
      <c r="L60" s="1">
        <f t="shared" si="30"/>
        <v>0</v>
      </c>
      <c r="M60" s="1"/>
      <c r="N60" s="5">
        <f t="shared" si="31"/>
        <v>0</v>
      </c>
      <c r="O60" s="14"/>
      <c r="P60" s="1">
        <f>SUM(OSRRefP22_8x_0)</f>
        <v>1469.55</v>
      </c>
      <c r="Q60" s="1"/>
      <c r="R60" s="5">
        <f t="shared" si="32"/>
        <v>7.1997600128988664E-3</v>
      </c>
      <c r="S60" s="1"/>
      <c r="T60" s="1">
        <f>SUM(OSRRefT22_8x_0)</f>
        <v>1700</v>
      </c>
      <c r="U60" s="1"/>
      <c r="V60" s="5">
        <f t="shared" si="33"/>
        <v>1.1243386243386243E-2</v>
      </c>
      <c r="W60" s="1"/>
      <c r="X60" s="1">
        <f t="shared" si="34"/>
        <v>-230.45000000000005</v>
      </c>
      <c r="Y60" s="1"/>
      <c r="Z60" s="5">
        <f t="shared" si="35"/>
        <v>-0.13555882352941179</v>
      </c>
    </row>
    <row r="61" spans="1:26" s="24" customFormat="1" hidden="1" outlineLevel="2" x14ac:dyDescent="0.25">
      <c r="A61" s="29"/>
      <c r="B61" s="11" t="str">
        <f>CONCATENATE("          ", "6279", " - ", "GENERAL EXPENSE")</f>
        <v xml:space="preserve">          6279 - GENERAL EXPENSE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1469.55</v>
      </c>
      <c r="Q61" s="2"/>
      <c r="R61" s="6">
        <f t="shared" si="32"/>
        <v>7.1997600128988664E-3</v>
      </c>
      <c r="S61" s="2"/>
      <c r="T61" s="7">
        <v>1700</v>
      </c>
      <c r="U61" s="2"/>
      <c r="V61" s="6">
        <f t="shared" si="33"/>
        <v>1.1243386243386243E-2</v>
      </c>
      <c r="W61" s="2"/>
      <c r="X61" s="7">
        <f t="shared" si="34"/>
        <v>-230.45000000000005</v>
      </c>
      <c r="Y61" s="2"/>
      <c r="Z61" s="6">
        <f t="shared" si="35"/>
        <v>-0.13555882352941179</v>
      </c>
    </row>
    <row r="62" spans="1:26" s="28" customFormat="1" outlineLevel="1" collapsed="1" x14ac:dyDescent="0.25">
      <c r="A62" s="27"/>
      <c r="B62" s="14" t="str">
        <f>CONCATENATE("     ","Insurance                                         ")</f>
        <v xml:space="preserve">     Insurance                                         </v>
      </c>
      <c r="C62" s="14"/>
      <c r="D62" s="1">
        <f>SUM(OSRRefD22_9x_0)</f>
        <v>5.21</v>
      </c>
      <c r="E62" s="1"/>
      <c r="F62" s="5">
        <f t="shared" si="28"/>
        <v>3.211723666747854E-5</v>
      </c>
      <c r="G62" s="1"/>
      <c r="H62" s="1">
        <f>SUM(OSRRefH22_9x_0)</f>
        <v>10</v>
      </c>
      <c r="I62" s="1"/>
      <c r="J62" s="5">
        <f t="shared" si="29"/>
        <v>8.2671957671957667E-5</v>
      </c>
      <c r="K62" s="1"/>
      <c r="L62" s="1">
        <f t="shared" si="30"/>
        <v>-4.79</v>
      </c>
      <c r="M62" s="1"/>
      <c r="N62" s="5">
        <f t="shared" si="31"/>
        <v>-0.47899999999999998</v>
      </c>
      <c r="O62" s="14"/>
      <c r="P62" s="1">
        <f>SUM(OSRRefP22_9x_0)</f>
        <v>15.64</v>
      </c>
      <c r="Q62" s="1"/>
      <c r="R62" s="5">
        <f t="shared" si="32"/>
        <v>7.6624984928541575E-5</v>
      </c>
      <c r="S62" s="1"/>
      <c r="T62" s="1">
        <f>SUM(OSRRefT22_9x_0)</f>
        <v>30</v>
      </c>
      <c r="U62" s="1"/>
      <c r="V62" s="5">
        <f t="shared" si="33"/>
        <v>1.9841269841269841E-4</v>
      </c>
      <c r="W62" s="1"/>
      <c r="X62" s="1">
        <f t="shared" si="34"/>
        <v>-14.36</v>
      </c>
      <c r="Y62" s="1"/>
      <c r="Z62" s="5">
        <f t="shared" si="35"/>
        <v>-0.47866666666666663</v>
      </c>
    </row>
    <row r="63" spans="1:26" s="24" customFormat="1" hidden="1" outlineLevel="2" x14ac:dyDescent="0.25">
      <c r="A63" s="29"/>
      <c r="B63" s="11" t="str">
        <f>CONCATENATE("          ", "6314", " - ", "LIABILITY INSURANCE")</f>
        <v xml:space="preserve">          6314 - LIABILITY INSURANCE</v>
      </c>
      <c r="C63" s="11"/>
      <c r="D63" s="7">
        <v>5.21</v>
      </c>
      <c r="E63" s="2"/>
      <c r="F63" s="6">
        <f t="shared" si="28"/>
        <v>3.211723666747854E-5</v>
      </c>
      <c r="G63" s="2"/>
      <c r="H63" s="7">
        <v>10</v>
      </c>
      <c r="I63" s="2"/>
      <c r="J63" s="6">
        <f t="shared" si="29"/>
        <v>8.2671957671957667E-5</v>
      </c>
      <c r="K63" s="2"/>
      <c r="L63" s="7">
        <f t="shared" si="30"/>
        <v>-4.79</v>
      </c>
      <c r="M63" s="2"/>
      <c r="N63" s="6">
        <f t="shared" si="31"/>
        <v>-0.47899999999999998</v>
      </c>
      <c r="O63" s="11"/>
      <c r="P63" s="7">
        <v>15.64</v>
      </c>
      <c r="Q63" s="2"/>
      <c r="R63" s="6">
        <f t="shared" si="32"/>
        <v>7.6624984928541575E-5</v>
      </c>
      <c r="S63" s="2"/>
      <c r="T63" s="7">
        <v>30</v>
      </c>
      <c r="U63" s="2"/>
      <c r="V63" s="6">
        <f t="shared" si="33"/>
        <v>1.9841269841269841E-4</v>
      </c>
      <c r="W63" s="2"/>
      <c r="X63" s="7">
        <f t="shared" si="34"/>
        <v>-14.36</v>
      </c>
      <c r="Y63" s="2"/>
      <c r="Z63" s="6">
        <f t="shared" si="35"/>
        <v>-0.47866666666666663</v>
      </c>
    </row>
    <row r="64" spans="1:26" s="28" customFormat="1" outlineLevel="1" collapsed="1" x14ac:dyDescent="0.25">
      <c r="A64" s="27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9259.68</v>
      </c>
      <c r="E64" s="1"/>
      <c r="F64" s="5">
        <f t="shared" si="28"/>
        <v>5.7081638008659827E-2</v>
      </c>
      <c r="G64" s="1"/>
      <c r="H64" s="1">
        <f>SUM(OSRRefH22_10x_0)</f>
        <v>9677</v>
      </c>
      <c r="I64" s="1"/>
      <c r="J64" s="5">
        <f t="shared" si="29"/>
        <v>8.0001653439153442E-2</v>
      </c>
      <c r="K64" s="1"/>
      <c r="L64" s="1">
        <f t="shared" si="30"/>
        <v>-417.31999999999971</v>
      </c>
      <c r="M64" s="1"/>
      <c r="N64" s="5">
        <f t="shared" si="31"/>
        <v>-4.3124935413867901E-2</v>
      </c>
      <c r="O64" s="14"/>
      <c r="P64" s="1">
        <f>SUM(OSRRefP22_10x_0)</f>
        <v>12558.12</v>
      </c>
      <c r="Q64" s="1"/>
      <c r="R64" s="5">
        <f t="shared" si="32"/>
        <v>6.1525943461049656E-2</v>
      </c>
      <c r="S64" s="1"/>
      <c r="T64" s="1">
        <f>SUM(OSRRefT22_10x_0)</f>
        <v>12096</v>
      </c>
      <c r="U64" s="1"/>
      <c r="V64" s="5">
        <f t="shared" si="33"/>
        <v>0.08</v>
      </c>
      <c r="W64" s="1"/>
      <c r="X64" s="1">
        <f t="shared" si="34"/>
        <v>462.1200000000008</v>
      </c>
      <c r="Y64" s="1"/>
      <c r="Z64" s="5">
        <f t="shared" si="35"/>
        <v>3.8204365079365143E-2</v>
      </c>
    </row>
    <row r="65" spans="1:26" s="24" customFormat="1" hidden="1" outlineLevel="2" x14ac:dyDescent="0.25">
      <c r="A65" s="29"/>
      <c r="B65" s="11" t="str">
        <f>CONCATENATE("          ", "6387", " - ", "COMMISSION DUE HOUSING")</f>
        <v xml:space="preserve">          6387 - COMMISSION DUE HOUSING</v>
      </c>
      <c r="C65" s="11"/>
      <c r="D65" s="7">
        <v>9259.68</v>
      </c>
      <c r="E65" s="2"/>
      <c r="F65" s="6">
        <f t="shared" si="28"/>
        <v>5.7081638008659827E-2</v>
      </c>
      <c r="G65" s="2"/>
      <c r="H65" s="7">
        <v>9677</v>
      </c>
      <c r="I65" s="2"/>
      <c r="J65" s="6">
        <f t="shared" si="29"/>
        <v>8.0001653439153442E-2</v>
      </c>
      <c r="K65" s="2"/>
      <c r="L65" s="7">
        <f t="shared" si="30"/>
        <v>-417.31999999999971</v>
      </c>
      <c r="M65" s="2"/>
      <c r="N65" s="6">
        <f t="shared" si="31"/>
        <v>-4.3124935413867901E-2</v>
      </c>
      <c r="O65" s="11"/>
      <c r="P65" s="7">
        <v>12558.12</v>
      </c>
      <c r="Q65" s="2"/>
      <c r="R65" s="6">
        <f t="shared" si="32"/>
        <v>6.1525943461049656E-2</v>
      </c>
      <c r="S65" s="2"/>
      <c r="T65" s="7">
        <v>12096</v>
      </c>
      <c r="U65" s="2"/>
      <c r="V65" s="6">
        <f t="shared" si="33"/>
        <v>0.08</v>
      </c>
      <c r="W65" s="2"/>
      <c r="X65" s="7">
        <f t="shared" si="34"/>
        <v>462.1200000000008</v>
      </c>
      <c r="Y65" s="2"/>
      <c r="Z65" s="6">
        <f t="shared" si="35"/>
        <v>3.8204365079365143E-2</v>
      </c>
    </row>
    <row r="66" spans="1:26" s="28" customFormat="1" outlineLevel="1" collapsed="1" x14ac:dyDescent="0.25">
      <c r="A66" s="27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71.86</v>
      </c>
      <c r="E66" s="1"/>
      <c r="F66" s="5">
        <f t="shared" si="28"/>
        <v>4.4298361361324527E-4</v>
      </c>
      <c r="G66" s="1"/>
      <c r="H66" s="1">
        <f>SUM(OSRRefH22_11x_0)</f>
        <v>1600</v>
      </c>
      <c r="I66" s="1"/>
      <c r="J66" s="5">
        <f t="shared" si="29"/>
        <v>1.3227513227513227E-2</v>
      </c>
      <c r="K66" s="1"/>
      <c r="L66" s="1">
        <f t="shared" si="30"/>
        <v>-1528.14</v>
      </c>
      <c r="M66" s="1"/>
      <c r="N66" s="5">
        <f t="shared" si="31"/>
        <v>-0.95508750000000009</v>
      </c>
      <c r="O66" s="14"/>
      <c r="P66" s="1">
        <f>SUM(OSRRefP22_11x_0)</f>
        <v>71.86</v>
      </c>
      <c r="Q66" s="1"/>
      <c r="R66" s="5">
        <f t="shared" si="32"/>
        <v>3.5206338983152162E-4</v>
      </c>
      <c r="S66" s="1"/>
      <c r="T66" s="1">
        <f>SUM(OSRRefT22_11x_0)</f>
        <v>1800</v>
      </c>
      <c r="U66" s="1"/>
      <c r="V66" s="5">
        <f t="shared" si="33"/>
        <v>1.1904761904761904E-2</v>
      </c>
      <c r="W66" s="1"/>
      <c r="X66" s="1">
        <f t="shared" si="34"/>
        <v>-1728.14</v>
      </c>
      <c r="Y66" s="1"/>
      <c r="Z66" s="5">
        <f t="shared" si="35"/>
        <v>-0.96007777777777781</v>
      </c>
    </row>
    <row r="67" spans="1:26" s="24" customFormat="1" hidden="1" outlineLevel="2" x14ac:dyDescent="0.25">
      <c r="A67" s="29"/>
      <c r="B67" s="11" t="str">
        <f>CONCATENATE("          ", "6371", " - ", "COMPUTER SOFTWARE MAINTENANCE")</f>
        <v xml:space="preserve">          6371 - COMPUTER SOFTWARE MAINTENANCE</v>
      </c>
      <c r="C67" s="11"/>
      <c r="D67" s="7"/>
      <c r="E67" s="2"/>
      <c r="F67" s="6">
        <f t="shared" si="28"/>
        <v>0</v>
      </c>
      <c r="G67" s="2"/>
      <c r="H67" s="7"/>
      <c r="I67" s="2"/>
      <c r="J67" s="6">
        <f t="shared" si="29"/>
        <v>0</v>
      </c>
      <c r="K67" s="2"/>
      <c r="L67" s="7">
        <f t="shared" si="30"/>
        <v>0</v>
      </c>
      <c r="M67" s="2"/>
      <c r="N67" s="6">
        <f t="shared" si="31"/>
        <v>0</v>
      </c>
      <c r="O67" s="11"/>
      <c r="P67" s="7"/>
      <c r="Q67" s="2"/>
      <c r="R67" s="6">
        <f t="shared" si="32"/>
        <v>0</v>
      </c>
      <c r="S67" s="2"/>
      <c r="T67" s="7">
        <v>0</v>
      </c>
      <c r="U67" s="2"/>
      <c r="V67" s="6">
        <f t="shared" si="33"/>
        <v>0</v>
      </c>
      <c r="W67" s="2"/>
      <c r="X67" s="7">
        <f t="shared" si="34"/>
        <v>0</v>
      </c>
      <c r="Y67" s="2"/>
      <c r="Z67" s="6">
        <f t="shared" si="35"/>
        <v>0</v>
      </c>
    </row>
    <row r="68" spans="1:26" s="24" customFormat="1" hidden="1" outlineLevel="2" x14ac:dyDescent="0.25">
      <c r="A68" s="29"/>
      <c r="B68" s="11" t="str">
        <f>CONCATENATE("          ", "6373", " - ", "MAINTENANCE CONTRACTS")</f>
        <v xml:space="preserve">          6373 - MAINTENANCE CONTRACTS</v>
      </c>
      <c r="C68" s="11"/>
      <c r="D68" s="7">
        <v>71.86</v>
      </c>
      <c r="E68" s="2"/>
      <c r="F68" s="6">
        <f t="shared" si="28"/>
        <v>4.4298361361324527E-4</v>
      </c>
      <c r="G68" s="2"/>
      <c r="H68" s="7">
        <v>1500</v>
      </c>
      <c r="I68" s="2"/>
      <c r="J68" s="6">
        <f t="shared" si="29"/>
        <v>1.240079365079365E-2</v>
      </c>
      <c r="K68" s="2"/>
      <c r="L68" s="7">
        <f t="shared" si="30"/>
        <v>-1428.14</v>
      </c>
      <c r="M68" s="2"/>
      <c r="N68" s="6">
        <f t="shared" si="31"/>
        <v>-0.95209333333333335</v>
      </c>
      <c r="O68" s="11"/>
      <c r="P68" s="7">
        <v>71.86</v>
      </c>
      <c r="Q68" s="2"/>
      <c r="R68" s="6">
        <f t="shared" si="32"/>
        <v>3.5206338983152162E-4</v>
      </c>
      <c r="S68" s="2"/>
      <c r="T68" s="7">
        <v>1500</v>
      </c>
      <c r="U68" s="2"/>
      <c r="V68" s="6">
        <f t="shared" si="33"/>
        <v>9.9206349206349201E-3</v>
      </c>
      <c r="W68" s="2"/>
      <c r="X68" s="7">
        <f t="shared" si="34"/>
        <v>-1428.14</v>
      </c>
      <c r="Y68" s="2"/>
      <c r="Z68" s="6">
        <f t="shared" si="35"/>
        <v>-0.95209333333333335</v>
      </c>
    </row>
    <row r="69" spans="1:26" s="24" customFormat="1" hidden="1" outlineLevel="2" x14ac:dyDescent="0.25">
      <c r="A69" s="29"/>
      <c r="B69" s="11" t="str">
        <f>CONCATENATE("          ", "6375", " - ", "OUTSIDE REPAIRS &amp; MAINTENANCE")</f>
        <v xml:space="preserve">          6375 - OUTSIDE REPAIRS &amp; MAINTENANCE</v>
      </c>
      <c r="C69" s="11"/>
      <c r="D69" s="7"/>
      <c r="E69" s="2"/>
      <c r="F69" s="6">
        <f t="shared" si="28"/>
        <v>0</v>
      </c>
      <c r="G69" s="2"/>
      <c r="H69" s="7">
        <v>100</v>
      </c>
      <c r="I69" s="2"/>
      <c r="J69" s="6">
        <f t="shared" si="29"/>
        <v>8.2671957671957667E-4</v>
      </c>
      <c r="K69" s="2"/>
      <c r="L69" s="7">
        <f t="shared" si="30"/>
        <v>-100</v>
      </c>
      <c r="M69" s="2"/>
      <c r="N69" s="6">
        <f t="shared" si="31"/>
        <v>-1</v>
      </c>
      <c r="O69" s="11"/>
      <c r="P69" s="7"/>
      <c r="Q69" s="2"/>
      <c r="R69" s="6">
        <f t="shared" si="32"/>
        <v>0</v>
      </c>
      <c r="S69" s="2"/>
      <c r="T69" s="7">
        <v>300</v>
      </c>
      <c r="U69" s="2"/>
      <c r="V69" s="6">
        <f t="shared" si="33"/>
        <v>1.984126984126984E-3</v>
      </c>
      <c r="W69" s="2"/>
      <c r="X69" s="7">
        <f t="shared" si="34"/>
        <v>-300</v>
      </c>
      <c r="Y69" s="2"/>
      <c r="Z69" s="6">
        <f t="shared" si="35"/>
        <v>-1</v>
      </c>
    </row>
    <row r="70" spans="1:26" s="28" customFormat="1" outlineLevel="1" collapsed="1" x14ac:dyDescent="0.25">
      <c r="A70" s="27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SUM(OSRRefD22_12x_0)</f>
        <v>1659.9</v>
      </c>
      <c r="E70" s="1"/>
      <c r="F70" s="5">
        <f t="shared" ref="F70:F74" si="36">IF(D$12=0,0,D70/D$12)</f>
        <v>1.0232514615037934E-2</v>
      </c>
      <c r="G70" s="1"/>
      <c r="H70" s="1">
        <f>SUM(OSRRefH22_12x_0)</f>
        <v>6972</v>
      </c>
      <c r="I70" s="1"/>
      <c r="J70" s="5">
        <f t="shared" ref="J70:J74" si="37">IF(H$12=0,0,H70/H$12)</f>
        <v>5.7638888888888892E-2</v>
      </c>
      <c r="K70" s="1"/>
      <c r="L70" s="1">
        <f t="shared" ref="L70:L74" si="38">+D70-H70</f>
        <v>-5312.1</v>
      </c>
      <c r="M70" s="1"/>
      <c r="N70" s="5">
        <f t="shared" ref="N70:N74" si="39">IF(H70=0,0,L70/H70)</f>
        <v>-0.76191910499139415</v>
      </c>
      <c r="O70" s="14"/>
      <c r="P70" s="1">
        <f>SUM(OSRRefP22_12x_0)</f>
        <v>6222.4400000000005</v>
      </c>
      <c r="Q70" s="1"/>
      <c r="R70" s="5">
        <f t="shared" ref="R70:R74" si="40">IF(P$12=0,0,P70/P$12)</f>
        <v>3.0485573607337231E-2</v>
      </c>
      <c r="S70" s="1"/>
      <c r="T70" s="1">
        <f>SUM(OSRRefT22_12x_0)</f>
        <v>19316</v>
      </c>
      <c r="U70" s="1"/>
      <c r="V70" s="5">
        <f t="shared" ref="V70:V74" si="41">IF(T$12=0,0,T70/T$12)</f>
        <v>0.12775132275132275</v>
      </c>
      <c r="W70" s="1"/>
      <c r="X70" s="1">
        <f t="shared" ref="X70:X74" si="42">+P70-T70</f>
        <v>-13093.56</v>
      </c>
      <c r="Y70" s="1"/>
      <c r="Z70" s="5">
        <f t="shared" ref="Z70:Z74" si="43">IF(T70=0,0,X70/T70)</f>
        <v>-0.67786084075377917</v>
      </c>
    </row>
    <row r="71" spans="1:26" s="24" customFormat="1" hidden="1" outlineLevel="2" x14ac:dyDescent="0.25">
      <c r="A71" s="29"/>
      <c r="B71" s="11" t="str">
        <f>CONCATENATE("          ", "6282", " - ", "JANITORIAL/EXTERMINATOR EXPENS")</f>
        <v xml:space="preserve">          6282 - JANITORIAL/EXTERMINATOR EXPENS</v>
      </c>
      <c r="C71" s="11"/>
      <c r="D71" s="7">
        <v>1459.9</v>
      </c>
      <c r="E71" s="2"/>
      <c r="F71" s="6">
        <f t="shared" si="36"/>
        <v>8.9996072573612137E-3</v>
      </c>
      <c r="G71" s="2"/>
      <c r="H71" s="7">
        <v>670</v>
      </c>
      <c r="I71" s="2"/>
      <c r="J71" s="6">
        <f t="shared" si="37"/>
        <v>5.5390211640211637E-3</v>
      </c>
      <c r="K71" s="2"/>
      <c r="L71" s="7">
        <f t="shared" si="38"/>
        <v>789.90000000000009</v>
      </c>
      <c r="M71" s="2"/>
      <c r="N71" s="6">
        <f t="shared" si="39"/>
        <v>1.1789552238805971</v>
      </c>
      <c r="O71" s="11"/>
      <c r="P71" s="7">
        <v>2129.54</v>
      </c>
      <c r="Q71" s="2"/>
      <c r="R71" s="6">
        <f t="shared" si="40"/>
        <v>1.0433246189560513E-2</v>
      </c>
      <c r="S71" s="2"/>
      <c r="T71" s="7">
        <v>2010</v>
      </c>
      <c r="U71" s="2"/>
      <c r="V71" s="6">
        <f t="shared" si="41"/>
        <v>1.3293650793650793E-2</v>
      </c>
      <c r="W71" s="2"/>
      <c r="X71" s="7">
        <f t="shared" si="42"/>
        <v>119.53999999999996</v>
      </c>
      <c r="Y71" s="2"/>
      <c r="Z71" s="6">
        <f t="shared" si="43"/>
        <v>5.9472636815920382E-2</v>
      </c>
    </row>
    <row r="72" spans="1:26" s="24" customFormat="1" hidden="1" outlineLevel="2" x14ac:dyDescent="0.25">
      <c r="A72" s="29"/>
      <c r="B72" s="11" t="str">
        <f>CONCATENATE("          ", "6284", " - ", "TRASH REMOVAL EXPENSE")</f>
        <v xml:space="preserve">          6284 - TRASH REMOVAL EXPENSE</v>
      </c>
      <c r="C72" s="11"/>
      <c r="D72" s="7"/>
      <c r="E72" s="2"/>
      <c r="F72" s="6">
        <f t="shared" si="36"/>
        <v>0</v>
      </c>
      <c r="G72" s="2"/>
      <c r="H72" s="7">
        <v>50</v>
      </c>
      <c r="I72" s="2"/>
      <c r="J72" s="6">
        <f t="shared" si="37"/>
        <v>4.1335978835978834E-4</v>
      </c>
      <c r="K72" s="2"/>
      <c r="L72" s="7">
        <f t="shared" si="38"/>
        <v>-50</v>
      </c>
      <c r="M72" s="2"/>
      <c r="N72" s="6">
        <f t="shared" si="39"/>
        <v>-1</v>
      </c>
      <c r="O72" s="11"/>
      <c r="P72" s="7"/>
      <c r="Q72" s="2"/>
      <c r="R72" s="6">
        <f t="shared" si="40"/>
        <v>0</v>
      </c>
      <c r="S72" s="2"/>
      <c r="T72" s="7">
        <v>150</v>
      </c>
      <c r="U72" s="2"/>
      <c r="V72" s="6">
        <f t="shared" si="41"/>
        <v>9.9206349206349201E-4</v>
      </c>
      <c r="W72" s="2"/>
      <c r="X72" s="7">
        <f t="shared" si="42"/>
        <v>-150</v>
      </c>
      <c r="Y72" s="2"/>
      <c r="Z72" s="6">
        <f t="shared" si="43"/>
        <v>-1</v>
      </c>
    </row>
    <row r="73" spans="1:26" s="24" customFormat="1" hidden="1" outlineLevel="2" x14ac:dyDescent="0.25">
      <c r="A73" s="29"/>
      <c r="B73" s="11" t="str">
        <f>CONCATENATE("          ", "6285", " - ", "JANITORIAL SERVICES")</f>
        <v xml:space="preserve">          6285 - JANITORIAL SERVICES</v>
      </c>
      <c r="C73" s="11"/>
      <c r="D73" s="7">
        <v>200</v>
      </c>
      <c r="E73" s="2"/>
      <c r="F73" s="6">
        <f t="shared" si="36"/>
        <v>1.2329073576767195E-3</v>
      </c>
      <c r="G73" s="2"/>
      <c r="H73" s="7">
        <v>4652</v>
      </c>
      <c r="I73" s="2"/>
      <c r="J73" s="6">
        <f t="shared" si="37"/>
        <v>3.8458994708994707E-2</v>
      </c>
      <c r="K73" s="2"/>
      <c r="L73" s="7">
        <f t="shared" si="38"/>
        <v>-4452</v>
      </c>
      <c r="M73" s="2"/>
      <c r="N73" s="6">
        <f t="shared" si="39"/>
        <v>-0.95700773860705068</v>
      </c>
      <c r="O73" s="11"/>
      <c r="P73" s="7">
        <v>4092.9</v>
      </c>
      <c r="Q73" s="2"/>
      <c r="R73" s="6">
        <f t="shared" si="40"/>
        <v>2.0052327417776714E-2</v>
      </c>
      <c r="S73" s="2"/>
      <c r="T73" s="7">
        <v>13956</v>
      </c>
      <c r="U73" s="2"/>
      <c r="V73" s="6">
        <f t="shared" si="41"/>
        <v>9.2301587301587301E-2</v>
      </c>
      <c r="W73" s="2"/>
      <c r="X73" s="7">
        <f t="shared" si="42"/>
        <v>-9863.1</v>
      </c>
      <c r="Y73" s="2"/>
      <c r="Z73" s="6">
        <f t="shared" si="43"/>
        <v>-0.70672828890799655</v>
      </c>
    </row>
    <row r="74" spans="1:26" s="24" customFormat="1" hidden="1" outlineLevel="2" x14ac:dyDescent="0.25">
      <c r="A74" s="29"/>
      <c r="B74" s="11" t="str">
        <f>CONCATENATE("          ", "6286", " - ", "LAUNDRY EXPENSE")</f>
        <v xml:space="preserve">          6286 - LAUNDRY EXPENSE</v>
      </c>
      <c r="C74" s="11"/>
      <c r="D74" s="7"/>
      <c r="E74" s="2"/>
      <c r="F74" s="6">
        <f t="shared" si="36"/>
        <v>0</v>
      </c>
      <c r="G74" s="2"/>
      <c r="H74" s="7">
        <v>1600</v>
      </c>
      <c r="I74" s="2"/>
      <c r="J74" s="6">
        <f t="shared" si="37"/>
        <v>1.3227513227513227E-2</v>
      </c>
      <c r="K74" s="2"/>
      <c r="L74" s="7">
        <f t="shared" si="38"/>
        <v>-1600</v>
      </c>
      <c r="M74" s="2"/>
      <c r="N74" s="6">
        <f t="shared" si="39"/>
        <v>-1</v>
      </c>
      <c r="O74" s="11"/>
      <c r="P74" s="7"/>
      <c r="Q74" s="2"/>
      <c r="R74" s="6">
        <f t="shared" si="40"/>
        <v>0</v>
      </c>
      <c r="S74" s="2"/>
      <c r="T74" s="7">
        <v>3200</v>
      </c>
      <c r="U74" s="2"/>
      <c r="V74" s="6">
        <f t="shared" si="41"/>
        <v>2.1164021164021163E-2</v>
      </c>
      <c r="W74" s="2"/>
      <c r="X74" s="7">
        <f t="shared" si="42"/>
        <v>-3200</v>
      </c>
      <c r="Y74" s="2"/>
      <c r="Z74" s="6">
        <f t="shared" si="43"/>
        <v>-1</v>
      </c>
    </row>
    <row r="75" spans="1:26" s="28" customFormat="1" outlineLevel="1" collapsed="1" x14ac:dyDescent="0.25">
      <c r="A75" s="27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SUM(OSRRefD22_13x_0)</f>
        <v>17789.320000000003</v>
      </c>
      <c r="E75" s="1"/>
      <c r="F75" s="5">
        <f t="shared" ref="F75:F82" si="44">IF(D$12=0,0,D75/D$12)</f>
        <v>0.10966291758032812</v>
      </c>
      <c r="G75" s="1"/>
      <c r="H75" s="1">
        <f>SUM(OSRRefH22_13x_0)</f>
        <v>5446</v>
      </c>
      <c r="I75" s="1"/>
      <c r="J75" s="5">
        <f t="shared" ref="J75:J82" si="45">IF(H$12=0,0,H75/H$12)</f>
        <v>4.5023148148148145E-2</v>
      </c>
      <c r="K75" s="1"/>
      <c r="L75" s="1">
        <f t="shared" ref="L75:L82" si="46">+D75-H75</f>
        <v>12343.320000000003</v>
      </c>
      <c r="M75" s="1"/>
      <c r="N75" s="5">
        <f t="shared" ref="N75:N82" si="47">IF(H75=0,0,L75/H75)</f>
        <v>2.2664928387807572</v>
      </c>
      <c r="O75" s="14"/>
      <c r="P75" s="1">
        <f>SUM(OSRRefP22_13x_0)</f>
        <v>27437.970000000005</v>
      </c>
      <c r="Q75" s="1"/>
      <c r="R75" s="5">
        <f t="shared" ref="R75:R82" si="48">IF(P$12=0,0,P75/P$12)</f>
        <v>0.13442672875446141</v>
      </c>
      <c r="S75" s="1"/>
      <c r="T75" s="1">
        <f>SUM(OSRRefT22_13x_0)</f>
        <v>21338</v>
      </c>
      <c r="U75" s="1"/>
      <c r="V75" s="5">
        <f t="shared" ref="V75:V82" si="49">IF(T$12=0,0,T75/T$12)</f>
        <v>0.14112433862433862</v>
      </c>
      <c r="W75" s="1"/>
      <c r="X75" s="1">
        <f t="shared" ref="X75:X82" si="50">+P75-T75</f>
        <v>6099.9700000000048</v>
      </c>
      <c r="Y75" s="1"/>
      <c r="Z75" s="5">
        <f t="shared" ref="Z75:Z82" si="51">IF(T75=0,0,X75/T75)</f>
        <v>0.28587355890898886</v>
      </c>
    </row>
    <row r="76" spans="1:26" s="24" customFormat="1" hidden="1" outlineLevel="2" x14ac:dyDescent="0.25">
      <c r="A76" s="29"/>
      <c r="B76" s="11" t="str">
        <f>CONCATENATE("          ", "6237", " - ", "JANITORIAL SUPPLIES")</f>
        <v xml:space="preserve">          6237 - JANITORIAL SUPPLIES</v>
      </c>
      <c r="C76" s="11"/>
      <c r="D76" s="7">
        <v>3356.51</v>
      </c>
      <c r="E76" s="2"/>
      <c r="F76" s="6">
        <f t="shared" si="44"/>
        <v>2.0691329375577428E-2</v>
      </c>
      <c r="G76" s="2"/>
      <c r="H76" s="7">
        <v>2000</v>
      </c>
      <c r="I76" s="2"/>
      <c r="J76" s="6">
        <f t="shared" si="45"/>
        <v>1.6534391534391533E-2</v>
      </c>
      <c r="K76" s="2"/>
      <c r="L76" s="7">
        <f t="shared" si="46"/>
        <v>1356.5100000000002</v>
      </c>
      <c r="M76" s="2"/>
      <c r="N76" s="6">
        <f t="shared" si="47"/>
        <v>0.67825500000000016</v>
      </c>
      <c r="O76" s="11"/>
      <c r="P76" s="7">
        <v>4883.3100000000004</v>
      </c>
      <c r="Q76" s="2"/>
      <c r="R76" s="6">
        <f t="shared" si="48"/>
        <v>2.3924779741137877E-2</v>
      </c>
      <c r="S76" s="2"/>
      <c r="T76" s="7">
        <v>9000</v>
      </c>
      <c r="U76" s="2"/>
      <c r="V76" s="6">
        <f t="shared" si="49"/>
        <v>5.9523809523809521E-2</v>
      </c>
      <c r="W76" s="2"/>
      <c r="X76" s="7">
        <f t="shared" si="50"/>
        <v>-4116.6899999999996</v>
      </c>
      <c r="Y76" s="2"/>
      <c r="Z76" s="6">
        <f t="shared" si="51"/>
        <v>-0.45740999999999998</v>
      </c>
    </row>
    <row r="77" spans="1:26" s="24" customFormat="1" hidden="1" outlineLevel="2" x14ac:dyDescent="0.25">
      <c r="A77" s="29"/>
      <c r="B77" s="11" t="str">
        <f>CONCATENATE("          ", "6239", " - ", "KITCHEN SUPPLIES")</f>
        <v xml:space="preserve">          6239 - KITCHEN SUPPLIES</v>
      </c>
      <c r="C77" s="11"/>
      <c r="D77" s="7">
        <v>4469.83</v>
      </c>
      <c r="E77" s="2"/>
      <c r="F77" s="6">
        <f t="shared" si="44"/>
        <v>2.7554431472820655E-2</v>
      </c>
      <c r="G77" s="2"/>
      <c r="H77" s="7">
        <v>1000</v>
      </c>
      <c r="I77" s="2"/>
      <c r="J77" s="6">
        <f t="shared" si="45"/>
        <v>8.2671957671957667E-3</v>
      </c>
      <c r="K77" s="2"/>
      <c r="L77" s="7">
        <f t="shared" si="46"/>
        <v>3469.83</v>
      </c>
      <c r="M77" s="2"/>
      <c r="N77" s="6">
        <f t="shared" si="47"/>
        <v>3.46983</v>
      </c>
      <c r="O77" s="11"/>
      <c r="P77" s="7">
        <v>5903.66</v>
      </c>
      <c r="Q77" s="2"/>
      <c r="R77" s="6">
        <f t="shared" si="48"/>
        <v>2.8923776120411367E-2</v>
      </c>
      <c r="S77" s="2"/>
      <c r="T77" s="7">
        <v>7000</v>
      </c>
      <c r="U77" s="2"/>
      <c r="V77" s="6">
        <f t="shared" si="49"/>
        <v>4.6296296296296294E-2</v>
      </c>
      <c r="W77" s="2"/>
      <c r="X77" s="7">
        <f t="shared" si="50"/>
        <v>-1096.3400000000001</v>
      </c>
      <c r="Y77" s="2"/>
      <c r="Z77" s="6">
        <f t="shared" si="51"/>
        <v>-0.15662000000000001</v>
      </c>
    </row>
    <row r="78" spans="1:26" s="24" customFormat="1" hidden="1" outlineLevel="2" x14ac:dyDescent="0.25">
      <c r="A78" s="29"/>
      <c r="B78" s="11" t="str">
        <f>CONCATENATE("          ", "6241", " - ", "OFFICE EXPENSE")</f>
        <v xml:space="preserve">          6241 - OFFICE EXPENSE</v>
      </c>
      <c r="C78" s="11"/>
      <c r="D78" s="7">
        <v>1123.04</v>
      </c>
      <c r="E78" s="2"/>
      <c r="F78" s="6">
        <f t="shared" si="44"/>
        <v>6.9230213948263146E-3</v>
      </c>
      <c r="G78" s="2"/>
      <c r="H78" s="7">
        <v>125</v>
      </c>
      <c r="I78" s="2"/>
      <c r="J78" s="6">
        <f t="shared" si="45"/>
        <v>1.0333994708994708E-3</v>
      </c>
      <c r="K78" s="2"/>
      <c r="L78" s="7">
        <f t="shared" si="46"/>
        <v>998.04</v>
      </c>
      <c r="M78" s="2"/>
      <c r="N78" s="6">
        <f t="shared" si="47"/>
        <v>7.9843199999999994</v>
      </c>
      <c r="O78" s="11"/>
      <c r="P78" s="7">
        <v>2867.29</v>
      </c>
      <c r="Q78" s="2"/>
      <c r="R78" s="6">
        <f t="shared" si="48"/>
        <v>1.404770160075179E-2</v>
      </c>
      <c r="S78" s="2"/>
      <c r="T78" s="7">
        <v>375</v>
      </c>
      <c r="U78" s="2"/>
      <c r="V78" s="6">
        <f t="shared" si="49"/>
        <v>2.48015873015873E-3</v>
      </c>
      <c r="W78" s="2"/>
      <c r="X78" s="7">
        <f t="shared" si="50"/>
        <v>2492.29</v>
      </c>
      <c r="Y78" s="2"/>
      <c r="Z78" s="6">
        <f t="shared" si="51"/>
        <v>6.6461066666666664</v>
      </c>
    </row>
    <row r="79" spans="1:26" s="24" customFormat="1" hidden="1" outlineLevel="2" x14ac:dyDescent="0.25">
      <c r="A79" s="29"/>
      <c r="B79" s="11" t="str">
        <f>CONCATENATE("          ", "6243", " - ", "PAPER SUPPLIES")</f>
        <v xml:space="preserve">          6243 - PAPER SUPPLIES</v>
      </c>
      <c r="C79" s="11"/>
      <c r="D79" s="7">
        <v>8712.6</v>
      </c>
      <c r="E79" s="2"/>
      <c r="F79" s="6">
        <f t="shared" si="44"/>
        <v>5.3709143222470931E-2</v>
      </c>
      <c r="G79" s="2"/>
      <c r="H79" s="7">
        <v>2000</v>
      </c>
      <c r="I79" s="2"/>
      <c r="J79" s="6">
        <f t="shared" si="45"/>
        <v>1.6534391534391533E-2</v>
      </c>
      <c r="K79" s="2"/>
      <c r="L79" s="7">
        <f t="shared" si="46"/>
        <v>6712.6</v>
      </c>
      <c r="M79" s="2"/>
      <c r="N79" s="6">
        <f t="shared" si="47"/>
        <v>3.3563000000000001</v>
      </c>
      <c r="O79" s="11"/>
      <c r="P79" s="7">
        <v>13656.37</v>
      </c>
      <c r="Q79" s="2"/>
      <c r="R79" s="6">
        <f t="shared" si="48"/>
        <v>6.6906594976252398E-2</v>
      </c>
      <c r="S79" s="2"/>
      <c r="T79" s="7">
        <v>4000</v>
      </c>
      <c r="U79" s="2"/>
      <c r="V79" s="6">
        <f t="shared" si="49"/>
        <v>2.6455026455026454E-2</v>
      </c>
      <c r="W79" s="2"/>
      <c r="X79" s="7">
        <f t="shared" si="50"/>
        <v>9656.3700000000008</v>
      </c>
      <c r="Y79" s="2"/>
      <c r="Z79" s="6">
        <f t="shared" si="51"/>
        <v>2.4140925000000002</v>
      </c>
    </row>
    <row r="80" spans="1:26" s="24" customFormat="1" hidden="1" outlineLevel="2" x14ac:dyDescent="0.25">
      <c r="A80" s="29"/>
      <c r="B80" s="11" t="str">
        <f>CONCATENATE("          ", "6244", " - ", "SAFETY SUPPLY EXPENSE")</f>
        <v xml:space="preserve">          6244 - SAFETY SUPPLY EXPENSE</v>
      </c>
      <c r="C80" s="11"/>
      <c r="D80" s="7"/>
      <c r="E80" s="2"/>
      <c r="F80" s="6">
        <f t="shared" si="44"/>
        <v>0</v>
      </c>
      <c r="G80" s="2"/>
      <c r="H80" s="7">
        <v>125</v>
      </c>
      <c r="I80" s="2"/>
      <c r="J80" s="6">
        <f t="shared" si="45"/>
        <v>1.0333994708994708E-3</v>
      </c>
      <c r="K80" s="2"/>
      <c r="L80" s="7">
        <f t="shared" si="46"/>
        <v>-125</v>
      </c>
      <c r="M80" s="2"/>
      <c r="N80" s="6">
        <f t="shared" si="47"/>
        <v>-1</v>
      </c>
      <c r="O80" s="11"/>
      <c r="P80" s="7"/>
      <c r="Q80" s="2"/>
      <c r="R80" s="6">
        <f t="shared" si="48"/>
        <v>0</v>
      </c>
      <c r="S80" s="2"/>
      <c r="T80" s="7">
        <v>375</v>
      </c>
      <c r="U80" s="2"/>
      <c r="V80" s="6">
        <f t="shared" si="49"/>
        <v>2.48015873015873E-3</v>
      </c>
      <c r="W80" s="2"/>
      <c r="X80" s="7">
        <f t="shared" si="50"/>
        <v>-375</v>
      </c>
      <c r="Y80" s="2"/>
      <c r="Z80" s="6">
        <f t="shared" si="51"/>
        <v>-1</v>
      </c>
    </row>
    <row r="81" spans="1:26" s="24" customFormat="1" hidden="1" outlineLevel="2" x14ac:dyDescent="0.25">
      <c r="A81" s="29"/>
      <c r="B81" s="11" t="str">
        <f>CONCATENATE("          ", "6247", " - ", "STORE SUPPLIES")</f>
        <v xml:space="preserve">          6247 - STORE SUPPLIES</v>
      </c>
      <c r="C81" s="11"/>
      <c r="D81" s="7">
        <v>127.34</v>
      </c>
      <c r="E81" s="2"/>
      <c r="F81" s="6">
        <f t="shared" si="44"/>
        <v>7.8499211463276724E-4</v>
      </c>
      <c r="G81" s="2"/>
      <c r="H81" s="7"/>
      <c r="I81" s="2"/>
      <c r="J81" s="6">
        <f t="shared" si="45"/>
        <v>0</v>
      </c>
      <c r="K81" s="2"/>
      <c r="L81" s="7">
        <f t="shared" si="46"/>
        <v>127.34</v>
      </c>
      <c r="M81" s="2"/>
      <c r="N81" s="6">
        <f t="shared" si="47"/>
        <v>0</v>
      </c>
      <c r="O81" s="11"/>
      <c r="P81" s="7">
        <v>127.34</v>
      </c>
      <c r="Q81" s="2"/>
      <c r="R81" s="6">
        <f t="shared" si="48"/>
        <v>6.2387631590795939E-4</v>
      </c>
      <c r="S81" s="2"/>
      <c r="T81" s="7"/>
      <c r="U81" s="2"/>
      <c r="V81" s="6">
        <f t="shared" si="49"/>
        <v>0</v>
      </c>
      <c r="W81" s="2"/>
      <c r="X81" s="7">
        <f t="shared" si="50"/>
        <v>127.34</v>
      </c>
      <c r="Y81" s="2"/>
      <c r="Z81" s="6">
        <f t="shared" si="51"/>
        <v>0</v>
      </c>
    </row>
    <row r="82" spans="1:26" s="24" customFormat="1" hidden="1" outlineLevel="2" x14ac:dyDescent="0.25">
      <c r="A82" s="29"/>
      <c r="B82" s="11" t="str">
        <f>CONCATENATE("          ", "6248", " - ", "UNIFORMS")</f>
        <v xml:space="preserve">          6248 - UNIFORMS</v>
      </c>
      <c r="C82" s="11"/>
      <c r="D82" s="7"/>
      <c r="E82" s="2"/>
      <c r="F82" s="6">
        <f t="shared" si="44"/>
        <v>0</v>
      </c>
      <c r="G82" s="2"/>
      <c r="H82" s="7">
        <v>196</v>
      </c>
      <c r="I82" s="2"/>
      <c r="J82" s="6">
        <f t="shared" si="45"/>
        <v>1.6203703703703703E-3</v>
      </c>
      <c r="K82" s="2"/>
      <c r="L82" s="7">
        <f t="shared" si="46"/>
        <v>-196</v>
      </c>
      <c r="M82" s="2"/>
      <c r="N82" s="6">
        <f t="shared" si="47"/>
        <v>-1</v>
      </c>
      <c r="O82" s="11"/>
      <c r="P82" s="7"/>
      <c r="Q82" s="2"/>
      <c r="R82" s="6">
        <f t="shared" si="48"/>
        <v>0</v>
      </c>
      <c r="S82" s="2"/>
      <c r="T82" s="7">
        <v>588</v>
      </c>
      <c r="U82" s="2"/>
      <c r="V82" s="6">
        <f t="shared" si="49"/>
        <v>3.8888888888888888E-3</v>
      </c>
      <c r="W82" s="2"/>
      <c r="X82" s="7">
        <f t="shared" si="50"/>
        <v>-588</v>
      </c>
      <c r="Y82" s="2"/>
      <c r="Z82" s="6">
        <f t="shared" si="51"/>
        <v>-1</v>
      </c>
    </row>
    <row r="83" spans="1:26" s="28" customFormat="1" outlineLevel="1" collapsed="1" x14ac:dyDescent="0.25">
      <c r="A83" s="27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SUM(OSRRefD22_14x_0)</f>
        <v>237.85</v>
      </c>
      <c r="E83" s="1"/>
      <c r="F83" s="5">
        <f t="shared" ref="F83:F88" si="52">IF(D$12=0,0,D83/D$12)</f>
        <v>1.4662350751170387E-3</v>
      </c>
      <c r="G83" s="1"/>
      <c r="H83" s="1">
        <f>SUM(OSRRefH22_14x_0)</f>
        <v>125</v>
      </c>
      <c r="I83" s="1"/>
      <c r="J83" s="5">
        <f t="shared" ref="J83:J88" si="53">IF(H$12=0,0,H83/H$12)</f>
        <v>1.0333994708994708E-3</v>
      </c>
      <c r="K83" s="1"/>
      <c r="L83" s="1">
        <f t="shared" ref="L83:L88" si="54">+D83-H83</f>
        <v>112.85</v>
      </c>
      <c r="M83" s="1"/>
      <c r="N83" s="5">
        <f t="shared" ref="N83:N88" si="55">IF(H83=0,0,L83/H83)</f>
        <v>0.90279999999999994</v>
      </c>
      <c r="O83" s="14"/>
      <c r="P83" s="1">
        <f>SUM(OSRRefP22_14x_0)</f>
        <v>372.85</v>
      </c>
      <c r="Q83" s="1"/>
      <c r="R83" s="5">
        <f t="shared" ref="R83:R88" si="56">IF(P$12=0,0,P83/P$12)</f>
        <v>1.8267024060490235E-3</v>
      </c>
      <c r="S83" s="1"/>
      <c r="T83" s="1">
        <f>SUM(OSRRefT22_14x_0)</f>
        <v>375</v>
      </c>
      <c r="U83" s="1"/>
      <c r="V83" s="5">
        <f t="shared" ref="V83:V88" si="57">IF(T$12=0,0,T83/T$12)</f>
        <v>2.48015873015873E-3</v>
      </c>
      <c r="W83" s="1"/>
      <c r="X83" s="1">
        <f t="shared" ref="X83:X88" si="58">+P83-T83</f>
        <v>-2.1499999999999773</v>
      </c>
      <c r="Y83" s="1"/>
      <c r="Z83" s="5">
        <f t="shared" ref="Z83:Z88" si="59">IF(T83=0,0,X83/T83)</f>
        <v>-5.7333333333332726E-3</v>
      </c>
    </row>
    <row r="84" spans="1:26" s="24" customFormat="1" hidden="1" outlineLevel="2" x14ac:dyDescent="0.25">
      <c r="A84" s="29"/>
      <c r="B84" s="11" t="str">
        <f>CONCATENATE("          ", "6309", " - ", "TELEPHONE")</f>
        <v xml:space="preserve">          6309 - TELEPHONE</v>
      </c>
      <c r="C84" s="11"/>
      <c r="D84" s="7">
        <v>237.85</v>
      </c>
      <c r="E84" s="2"/>
      <c r="F84" s="6">
        <f t="shared" si="52"/>
        <v>1.4662350751170387E-3</v>
      </c>
      <c r="G84" s="2"/>
      <c r="H84" s="7">
        <v>125</v>
      </c>
      <c r="I84" s="2"/>
      <c r="J84" s="6">
        <f t="shared" si="53"/>
        <v>1.0333994708994708E-3</v>
      </c>
      <c r="K84" s="2"/>
      <c r="L84" s="7">
        <f t="shared" si="54"/>
        <v>112.85</v>
      </c>
      <c r="M84" s="2"/>
      <c r="N84" s="6">
        <f t="shared" si="55"/>
        <v>0.90279999999999994</v>
      </c>
      <c r="O84" s="11"/>
      <c r="P84" s="7">
        <v>372.85</v>
      </c>
      <c r="Q84" s="2"/>
      <c r="R84" s="6">
        <f t="shared" si="56"/>
        <v>1.8267024060490235E-3</v>
      </c>
      <c r="S84" s="2"/>
      <c r="T84" s="7">
        <v>375</v>
      </c>
      <c r="U84" s="2"/>
      <c r="V84" s="6">
        <f t="shared" si="57"/>
        <v>2.48015873015873E-3</v>
      </c>
      <c r="W84" s="2"/>
      <c r="X84" s="7">
        <f t="shared" si="58"/>
        <v>-2.1499999999999773</v>
      </c>
      <c r="Y84" s="2"/>
      <c r="Z84" s="6">
        <f t="shared" si="59"/>
        <v>-5.7333333333332726E-3</v>
      </c>
    </row>
    <row r="85" spans="1:26" s="28" customFormat="1" outlineLevel="1" collapsed="1" x14ac:dyDescent="0.25">
      <c r="A85" s="27"/>
      <c r="B85" s="14" t="str">
        <f>CONCATENATE("     ","Training                                          ")</f>
        <v xml:space="preserve">     Training                                          </v>
      </c>
      <c r="C85" s="14"/>
      <c r="D85" s="1">
        <f>SUM(OSRRefD22_15x_0)</f>
        <v>0</v>
      </c>
      <c r="E85" s="1"/>
      <c r="F85" s="5">
        <f t="shared" si="52"/>
        <v>0</v>
      </c>
      <c r="G85" s="1"/>
      <c r="H85" s="1">
        <f>SUM(OSRRefH22_15x_0)</f>
        <v>165</v>
      </c>
      <c r="I85" s="1"/>
      <c r="J85" s="5">
        <f t="shared" si="53"/>
        <v>1.3640873015873015E-3</v>
      </c>
      <c r="K85" s="1"/>
      <c r="L85" s="1">
        <f t="shared" si="54"/>
        <v>-165</v>
      </c>
      <c r="M85" s="1"/>
      <c r="N85" s="5">
        <f t="shared" si="55"/>
        <v>-1</v>
      </c>
      <c r="O85" s="14"/>
      <c r="P85" s="1">
        <f>SUM(OSRRefP22_15x_0)</f>
        <v>0</v>
      </c>
      <c r="Q85" s="1"/>
      <c r="R85" s="5">
        <f t="shared" si="56"/>
        <v>0</v>
      </c>
      <c r="S85" s="1"/>
      <c r="T85" s="1">
        <f>SUM(OSRRefT22_15x_0)</f>
        <v>495</v>
      </c>
      <c r="U85" s="1"/>
      <c r="V85" s="5">
        <f t="shared" si="57"/>
        <v>3.2738095238095239E-3</v>
      </c>
      <c r="W85" s="1"/>
      <c r="X85" s="1">
        <f t="shared" si="58"/>
        <v>-495</v>
      </c>
      <c r="Y85" s="1"/>
      <c r="Z85" s="5">
        <f t="shared" si="59"/>
        <v>-1</v>
      </c>
    </row>
    <row r="86" spans="1:26" s="24" customFormat="1" hidden="1" outlineLevel="2" x14ac:dyDescent="0.25">
      <c r="A86" s="29"/>
      <c r="B86" s="11" t="str">
        <f>CONCATENATE("          ", "6376", " - ", "TRAINING")</f>
        <v xml:space="preserve">          6376 - TRAINING</v>
      </c>
      <c r="C86" s="11"/>
      <c r="D86" s="7"/>
      <c r="E86" s="2"/>
      <c r="F86" s="6">
        <f t="shared" si="52"/>
        <v>0</v>
      </c>
      <c r="G86" s="2"/>
      <c r="H86" s="7">
        <v>165</v>
      </c>
      <c r="I86" s="2"/>
      <c r="J86" s="6">
        <f t="shared" si="53"/>
        <v>1.3640873015873015E-3</v>
      </c>
      <c r="K86" s="2"/>
      <c r="L86" s="7">
        <f t="shared" si="54"/>
        <v>-165</v>
      </c>
      <c r="M86" s="2"/>
      <c r="N86" s="6">
        <f t="shared" si="55"/>
        <v>-1</v>
      </c>
      <c r="O86" s="11"/>
      <c r="P86" s="7"/>
      <c r="Q86" s="2"/>
      <c r="R86" s="6">
        <f t="shared" si="56"/>
        <v>0</v>
      </c>
      <c r="S86" s="2"/>
      <c r="T86" s="7">
        <v>495</v>
      </c>
      <c r="U86" s="2"/>
      <c r="V86" s="6">
        <f t="shared" si="57"/>
        <v>3.2738095238095239E-3</v>
      </c>
      <c r="W86" s="2"/>
      <c r="X86" s="7">
        <f t="shared" si="58"/>
        <v>-495</v>
      </c>
      <c r="Y86" s="2"/>
      <c r="Z86" s="6">
        <f t="shared" si="59"/>
        <v>-1</v>
      </c>
    </row>
    <row r="87" spans="1:26" s="28" customFormat="1" outlineLevel="1" collapsed="1" x14ac:dyDescent="0.25">
      <c r="A87" s="27"/>
      <c r="B87" s="14" t="str">
        <f>CONCATENATE("     ","Travel                                            ")</f>
        <v xml:space="preserve">     Travel                                            </v>
      </c>
      <c r="C87" s="14"/>
      <c r="D87" s="1">
        <f>SUM(OSRRefD22_16x_0)</f>
        <v>104.02</v>
      </c>
      <c r="E87" s="1"/>
      <c r="F87" s="5">
        <f t="shared" si="52"/>
        <v>6.4123511672766181E-4</v>
      </c>
      <c r="G87" s="1"/>
      <c r="H87" s="1">
        <f>SUM(OSRRefH22_16x_0)</f>
        <v>0</v>
      </c>
      <c r="I87" s="1"/>
      <c r="J87" s="5">
        <f t="shared" si="53"/>
        <v>0</v>
      </c>
      <c r="K87" s="1"/>
      <c r="L87" s="1">
        <f t="shared" si="54"/>
        <v>104.02</v>
      </c>
      <c r="M87" s="1"/>
      <c r="N87" s="5">
        <f t="shared" si="55"/>
        <v>0</v>
      </c>
      <c r="O87" s="14"/>
      <c r="P87" s="1">
        <f>SUM(OSRRefP22_16x_0)</f>
        <v>104.02</v>
      </c>
      <c r="Q87" s="1"/>
      <c r="R87" s="5">
        <f t="shared" si="56"/>
        <v>5.0962473991476311E-4</v>
      </c>
      <c r="S87" s="1"/>
      <c r="T87" s="1">
        <f>SUM(OSRRefT22_16x_0)</f>
        <v>0</v>
      </c>
      <c r="U87" s="1"/>
      <c r="V87" s="5">
        <f t="shared" si="57"/>
        <v>0</v>
      </c>
      <c r="W87" s="1"/>
      <c r="X87" s="1">
        <f t="shared" si="58"/>
        <v>104.02</v>
      </c>
      <c r="Y87" s="1"/>
      <c r="Z87" s="5">
        <f t="shared" si="59"/>
        <v>0</v>
      </c>
    </row>
    <row r="88" spans="1:26" s="24" customFormat="1" hidden="1" outlineLevel="2" x14ac:dyDescent="0.25">
      <c r="A88" s="29"/>
      <c r="B88" s="11" t="str">
        <f>CONCATENATE("          ", "6298", " - ", "VEHICLE MILEAGE")</f>
        <v xml:space="preserve">          6298 - VEHICLE MILEAGE</v>
      </c>
      <c r="C88" s="11"/>
      <c r="D88" s="7">
        <v>104.02</v>
      </c>
      <c r="E88" s="2"/>
      <c r="F88" s="6">
        <f t="shared" si="52"/>
        <v>6.4123511672766181E-4</v>
      </c>
      <c r="G88" s="2"/>
      <c r="H88" s="7"/>
      <c r="I88" s="2"/>
      <c r="J88" s="6">
        <f t="shared" si="53"/>
        <v>0</v>
      </c>
      <c r="K88" s="2"/>
      <c r="L88" s="7">
        <f t="shared" si="54"/>
        <v>104.02</v>
      </c>
      <c r="M88" s="2"/>
      <c r="N88" s="6">
        <f t="shared" si="55"/>
        <v>0</v>
      </c>
      <c r="O88" s="11"/>
      <c r="P88" s="7">
        <v>104.02</v>
      </c>
      <c r="Q88" s="2"/>
      <c r="R88" s="6">
        <f t="shared" si="56"/>
        <v>5.0962473991476311E-4</v>
      </c>
      <c r="S88" s="2"/>
      <c r="T88" s="7"/>
      <c r="U88" s="2"/>
      <c r="V88" s="6">
        <f t="shared" si="57"/>
        <v>0</v>
      </c>
      <c r="W88" s="2"/>
      <c r="X88" s="7">
        <f t="shared" si="58"/>
        <v>104.02</v>
      </c>
      <c r="Y88" s="2"/>
      <c r="Z88" s="6">
        <f t="shared" si="59"/>
        <v>0</v>
      </c>
    </row>
    <row r="89" spans="1:26" s="58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6" t="s">
        <v>293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5" t="s">
        <v>277</v>
      </c>
      <c r="C92" s="25"/>
      <c r="D92" s="21">
        <f>+D23-D25+D90</f>
        <v>-16068.310000000012</v>
      </c>
      <c r="E92" s="13"/>
      <c r="F92" s="20">
        <f>IF(D$12=0,0,D92/D$12)</f>
        <v>-9.9053688122152109E-2</v>
      </c>
      <c r="G92" s="13"/>
      <c r="H92" s="21">
        <f>+H23-H25+H90</f>
        <v>-41990.726996923098</v>
      </c>
      <c r="I92" s="13"/>
      <c r="J92" s="20">
        <f>IF(H$12=0,0,H92/H$12)</f>
        <v>-0.34714556049043566</v>
      </c>
      <c r="K92" s="16"/>
      <c r="L92" s="21">
        <f>+D92-H92</f>
        <v>25922.416996923086</v>
      </c>
      <c r="M92" s="16"/>
      <c r="N92" s="20">
        <f>IF(H92=0,0,L92/H92)</f>
        <v>-0.61733670385898698</v>
      </c>
      <c r="O92" s="26"/>
      <c r="P92" s="21">
        <f>+P23-P25+P90</f>
        <v>-121349.15999999999</v>
      </c>
      <c r="Q92" s="13"/>
      <c r="R92" s="20">
        <f>IF(P$12=0,0,P92/P$12)</f>
        <v>-0.59452541918741553</v>
      </c>
      <c r="S92" s="13"/>
      <c r="T92" s="21">
        <f>+T23-T25+T90</f>
        <v>-219303.37624000013</v>
      </c>
      <c r="U92" s="13"/>
      <c r="V92" s="20">
        <f>IF(T$12=0,0,T92/T$12)</f>
        <v>-1.4504191550264558</v>
      </c>
      <c r="W92" s="16"/>
      <c r="X92" s="21">
        <f>+P92-T92</f>
        <v>97954.21624000014</v>
      </c>
      <c r="Y92" s="16"/>
      <c r="Z92" s="20">
        <f>IF(T92=0,0,X92/T92)</f>
        <v>-0.44666077613324795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128</v>
      </c>
      <c r="C94" s="10"/>
      <c r="D94" s="4">
        <v>19003.79</v>
      </c>
      <c r="E94" s="4"/>
      <c r="F94" s="12">
        <f>IF(D$12=0,0,D94/D$12)</f>
        <v>0.11714956257371632</v>
      </c>
      <c r="G94" s="4"/>
      <c r="H94" s="4">
        <v>13031</v>
      </c>
      <c r="I94" s="4"/>
      <c r="J94" s="12">
        <f>IF(H$12=0,0,H94/H$12)</f>
        <v>0.10772982804232804</v>
      </c>
      <c r="K94" s="4"/>
      <c r="L94" s="4">
        <f>+D94-H94</f>
        <v>5972.7900000000009</v>
      </c>
      <c r="M94" s="4"/>
      <c r="N94" s="12">
        <f>IF(H94=0,0,L94/H94)</f>
        <v>0.45835239045353393</v>
      </c>
      <c r="O94" s="10"/>
      <c r="P94" s="4">
        <v>25263.96</v>
      </c>
      <c r="Q94" s="4"/>
      <c r="R94" s="12">
        <f>IF(P$12=0,0,P94/P$12)</f>
        <v>0.12377561088460852</v>
      </c>
      <c r="S94" s="4"/>
      <c r="T94" s="4">
        <v>16418</v>
      </c>
      <c r="U94" s="4"/>
      <c r="V94" s="12">
        <f>IF(T$12=0,0,T94/T$12)</f>
        <v>0.10858465608465609</v>
      </c>
      <c r="W94" s="4"/>
      <c r="X94" s="4">
        <f>+P94-T94</f>
        <v>8845.9599999999991</v>
      </c>
      <c r="Y94" s="4"/>
      <c r="Z94" s="12">
        <f>IF(T94=0,0,X94/T94)</f>
        <v>0.53879644292849305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5" t="s">
        <v>126</v>
      </c>
      <c r="C96" s="25"/>
      <c r="D96" s="33">
        <f>+D92-D94</f>
        <v>-35072.100000000013</v>
      </c>
      <c r="E96" s="13"/>
      <c r="F96" s="31">
        <f>IF(D$12=0,0,D96/D$12)</f>
        <v>-0.21620325069586843</v>
      </c>
      <c r="G96" s="13"/>
      <c r="H96" s="33">
        <f>+H92-H94</f>
        <v>-55021.726996923098</v>
      </c>
      <c r="I96" s="13"/>
      <c r="J96" s="31">
        <f>IF(H$12=0,0,H96/H$12)</f>
        <v>-0.45487538853276371</v>
      </c>
      <c r="K96" s="16"/>
      <c r="L96" s="33">
        <f>D96-H96</f>
        <v>19949.626996923085</v>
      </c>
      <c r="M96" s="16"/>
      <c r="N96" s="31">
        <f>IF(H96=0,0,L96/H96)</f>
        <v>-0.36257725967123317</v>
      </c>
      <c r="O96" s="26"/>
      <c r="P96" s="33">
        <f>+P92-P94</f>
        <v>-146613.12</v>
      </c>
      <c r="Q96" s="13"/>
      <c r="R96" s="31">
        <f>IF(P$12=0,0,P96/P$12)</f>
        <v>-0.71830103007202417</v>
      </c>
      <c r="S96" s="13"/>
      <c r="T96" s="33">
        <f>+T92-T94</f>
        <v>-235721.37624000013</v>
      </c>
      <c r="U96" s="13"/>
      <c r="V96" s="31">
        <f>IF(T$12=0,0,T96/T$12)</f>
        <v>-1.559003811111112</v>
      </c>
      <c r="W96" s="16"/>
      <c r="X96" s="33">
        <f>P96-T96</f>
        <v>89108.256240000133</v>
      </c>
      <c r="Y96" s="16"/>
      <c r="Z96" s="31">
        <f>IF(T96=0,0,X96/T96)</f>
        <v>-0.37802365513628433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5" t="s">
        <v>294</v>
      </c>
      <c r="C99" s="25"/>
      <c r="D99" s="35">
        <f>SUM(D96:D98)</f>
        <v>-35072.100000000013</v>
      </c>
      <c r="E99" s="13"/>
      <c r="F99" s="34">
        <f>IF(D$12=0,0,D99/D$12)</f>
        <v>-0.21620325069586843</v>
      </c>
      <c r="G99" s="13"/>
      <c r="H99" s="35">
        <f>SUM(H96:H98)</f>
        <v>-55021.726996923098</v>
      </c>
      <c r="I99" s="13"/>
      <c r="J99" s="34">
        <f>IF(H$12=0,0,H99/H$12)</f>
        <v>-0.45487538853276371</v>
      </c>
      <c r="K99" s="16"/>
      <c r="L99" s="35">
        <f>+D99-H99</f>
        <v>19949.626996923085</v>
      </c>
      <c r="M99" s="16"/>
      <c r="N99" s="34">
        <f>IF(H99=0,0,L99/H99)</f>
        <v>-0.36257725967123317</v>
      </c>
      <c r="O99" s="26"/>
      <c r="P99" s="35">
        <f>SUM(P96:P98)</f>
        <v>-146613.12</v>
      </c>
      <c r="Q99" s="13"/>
      <c r="R99" s="34">
        <f>IF(P$12=0,0,P99/P$12)</f>
        <v>-0.71830103007202417</v>
      </c>
      <c r="S99" s="13"/>
      <c r="T99" s="35">
        <f>SUM(T96:T98)</f>
        <v>-235721.37624000013</v>
      </c>
      <c r="U99" s="13"/>
      <c r="V99" s="34">
        <f>IF(T$12=0,0,T99/T$12)</f>
        <v>-1.559003811111112</v>
      </c>
      <c r="W99" s="16"/>
      <c r="X99" s="35">
        <f>+P99-T99</f>
        <v>89108.256240000133</v>
      </c>
      <c r="Y99" s="16"/>
      <c r="Z99" s="34">
        <f>IF(T99=0,0,X99/T99)</f>
        <v>-0.37802365513628433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61">
        <v>44481.978956793981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6" t="s">
        <v>56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54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139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C000"/>
    <outlinePr summaryBelow="0" summaryRight="0"/>
  </sheetPr>
  <dimension ref="A2:Z8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">
        <v>105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17418</v>
      </c>
      <c r="E12" s="4"/>
      <c r="F12" s="12"/>
      <c r="G12" s="4"/>
      <c r="H12" s="4">
        <f>SUM(OSRRefH13x_0)</f>
        <v>36310</v>
      </c>
      <c r="I12" s="4"/>
      <c r="J12" s="12"/>
      <c r="K12" s="4"/>
      <c r="L12" s="4">
        <f t="shared" ref="L12:L13" si="0">+D12-H12</f>
        <v>-18892</v>
      </c>
      <c r="M12" s="4"/>
      <c r="N12" s="12">
        <f t="shared" ref="N12:N13" si="1">IF(H12=0,0,L12/H12)</f>
        <v>-0.52029743872211509</v>
      </c>
      <c r="O12" s="10"/>
      <c r="P12" s="4">
        <f>SUM(OSRRefP13x_0)</f>
        <v>253270</v>
      </c>
      <c r="Q12" s="4"/>
      <c r="R12" s="12"/>
      <c r="S12" s="4"/>
      <c r="T12" s="4">
        <f>SUM(OSRRefT13x_0)</f>
        <v>256813</v>
      </c>
      <c r="U12" s="4"/>
      <c r="V12" s="12"/>
      <c r="W12" s="4"/>
      <c r="X12" s="4">
        <f t="shared" ref="X12:X13" si="2">+P12-T12</f>
        <v>-3543</v>
      </c>
      <c r="Y12" s="4"/>
      <c r="Z12" s="12">
        <f t="shared" ref="Z12:Z13" si="3">IF(T12=0,0,X12/T12)</f>
        <v>-1.37960305747762E-2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--17418</f>
        <v>17418</v>
      </c>
      <c r="E13" s="2"/>
      <c r="F13" s="19"/>
      <c r="G13" s="2"/>
      <c r="H13" s="2">
        <v>36310</v>
      </c>
      <c r="I13" s="2"/>
      <c r="J13" s="19"/>
      <c r="K13" s="2"/>
      <c r="L13" s="2">
        <f t="shared" si="0"/>
        <v>-18892</v>
      </c>
      <c r="M13" s="2"/>
      <c r="N13" s="19">
        <f t="shared" si="1"/>
        <v>-0.52029743872211509</v>
      </c>
      <c r="O13" s="11"/>
      <c r="P13" s="2">
        <f>--253270</f>
        <v>253270</v>
      </c>
      <c r="Q13" s="2"/>
      <c r="R13" s="19"/>
      <c r="S13" s="2"/>
      <c r="T13" s="2">
        <v>256813</v>
      </c>
      <c r="U13" s="2"/>
      <c r="V13" s="19"/>
      <c r="W13" s="2"/>
      <c r="X13" s="2">
        <f t="shared" si="2"/>
        <v>-3543</v>
      </c>
      <c r="Y13" s="2"/>
      <c r="Z13" s="19">
        <f t="shared" si="3"/>
        <v>-1.37960305747762E-2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108</v>
      </c>
      <c r="C17" s="25"/>
      <c r="D17" s="21">
        <f>D12-D15</f>
        <v>17418</v>
      </c>
      <c r="E17" s="13"/>
      <c r="F17" s="20">
        <f>IF(D$12=0,0,D17/D$12)</f>
        <v>1</v>
      </c>
      <c r="G17" s="13"/>
      <c r="H17" s="21">
        <f>H12-H15</f>
        <v>36310</v>
      </c>
      <c r="I17" s="13"/>
      <c r="J17" s="20">
        <f>IF(H$12=0,0,H17/H$12)</f>
        <v>1</v>
      </c>
      <c r="K17" s="16"/>
      <c r="L17" s="21">
        <f>+D17-H17</f>
        <v>-18892</v>
      </c>
      <c r="M17" s="16"/>
      <c r="N17" s="20">
        <f>IF(H17=0,0,L17/H17)</f>
        <v>-0.52029743872211509</v>
      </c>
      <c r="O17" s="26"/>
      <c r="P17" s="21">
        <f>P12-P15</f>
        <v>253270</v>
      </c>
      <c r="Q17" s="13"/>
      <c r="R17" s="20">
        <f>IF(P$12=0,0,P17/P$12)</f>
        <v>1</v>
      </c>
      <c r="S17" s="13"/>
      <c r="T17" s="21">
        <f>T12-T15</f>
        <v>256813</v>
      </c>
      <c r="U17" s="13"/>
      <c r="V17" s="20">
        <f>IF(T$12=0,0,T17/T$12)</f>
        <v>1</v>
      </c>
      <c r="W17" s="16"/>
      <c r="X17" s="21">
        <f>+P17-T17</f>
        <v>-3543</v>
      </c>
      <c r="Y17" s="16"/>
      <c r="Z17" s="20">
        <f>IF(T17=0,0,X17/T17)</f>
        <v>-1.37960305747762E-2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295</v>
      </c>
      <c r="C19" s="10"/>
      <c r="D19" s="22">
        <f>SUM(OSRRefD22x_0)</f>
        <v>18581.89</v>
      </c>
      <c r="E19" s="22"/>
      <c r="F19" s="32">
        <f t="shared" ref="F19:F29" si="4">IF(D$12=0,0,D19/D$12)</f>
        <v>1.0668211046044322</v>
      </c>
      <c r="G19" s="22"/>
      <c r="H19" s="22">
        <f>SUM(OSRRefH22x_0)</f>
        <v>34999.061529177692</v>
      </c>
      <c r="I19" s="22"/>
      <c r="J19" s="32">
        <f t="shared" ref="J19:J29" si="5">IF(H$12=0,0,H19/H$12)</f>
        <v>0.96389593856176514</v>
      </c>
      <c r="K19" s="4"/>
      <c r="L19" s="22">
        <f t="shared" ref="L19:L29" si="6">+D19-H19</f>
        <v>-16417.171529177693</v>
      </c>
      <c r="M19" s="4"/>
      <c r="N19" s="32">
        <f t="shared" ref="N19:N29" si="7">IF(H19=0,0,L19/H19)</f>
        <v>-0.46907462120066212</v>
      </c>
      <c r="O19" s="10"/>
      <c r="P19" s="22">
        <f>SUM(OSRRefP22x_0)</f>
        <v>188706.79</v>
      </c>
      <c r="Q19" s="22"/>
      <c r="R19" s="32">
        <f t="shared" ref="R19:R29" si="8">IF(P$12=0,0,P19/P$12)</f>
        <v>0.74508149405772495</v>
      </c>
      <c r="S19" s="22"/>
      <c r="T19" s="22">
        <f>SUM(OSRRefT22x_0)</f>
        <v>237766.05759482749</v>
      </c>
      <c r="U19" s="22"/>
      <c r="V19" s="32">
        <f t="shared" ref="V19:V29" si="9">IF(T$12=0,0,T19/T$12)</f>
        <v>0.92583341807006458</v>
      </c>
      <c r="W19" s="4"/>
      <c r="X19" s="22">
        <f t="shared" ref="X19:X29" si="10">+P19-T19</f>
        <v>-49059.267594827485</v>
      </c>
      <c r="Y19" s="4"/>
      <c r="Z19" s="32">
        <f t="shared" ref="Z19:Z29" si="11">IF(T19=0,0,X19/T19)</f>
        <v>-0.20633419290834365</v>
      </c>
    </row>
    <row r="20" spans="1:26" s="28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3562.0199999999995</v>
      </c>
      <c r="E20" s="1"/>
      <c r="F20" s="5">
        <f t="shared" si="4"/>
        <v>0.20450223906303822</v>
      </c>
      <c r="G20" s="1"/>
      <c r="H20" s="1">
        <f>SUM(OSRRefH22_0x_0)</f>
        <v>3373.0232868699995</v>
      </c>
      <c r="I20" s="1"/>
      <c r="J20" s="5">
        <f t="shared" si="5"/>
        <v>9.2895160751032754E-2</v>
      </c>
      <c r="K20" s="1"/>
      <c r="L20" s="1">
        <f t="shared" si="6"/>
        <v>188.99671312999999</v>
      </c>
      <c r="M20" s="1"/>
      <c r="N20" s="5">
        <f t="shared" si="7"/>
        <v>5.6031843558773553E-2</v>
      </c>
      <c r="O20" s="14"/>
      <c r="P20" s="1">
        <f>SUM(OSRRefP22_0x_0)</f>
        <v>11228.220000000001</v>
      </c>
      <c r="Q20" s="1"/>
      <c r="R20" s="5">
        <f t="shared" si="8"/>
        <v>4.4333004303707513E-2</v>
      </c>
      <c r="S20" s="1"/>
      <c r="T20" s="1">
        <f>SUM(OSRRefT22_0x_0)</f>
        <v>12705.183307327499</v>
      </c>
      <c r="U20" s="1"/>
      <c r="V20" s="5">
        <f t="shared" si="9"/>
        <v>4.9472508429586892E-2</v>
      </c>
      <c r="W20" s="1"/>
      <c r="X20" s="1">
        <f t="shared" si="10"/>
        <v>-1476.9633073274981</v>
      </c>
      <c r="Y20" s="1"/>
      <c r="Z20" s="5">
        <f t="shared" si="11"/>
        <v>-0.11624887824134615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7">
        <v>1050.3699999999999</v>
      </c>
      <c r="E21" s="2"/>
      <c r="F21" s="6">
        <f t="shared" si="4"/>
        <v>6.0303708806981278E-2</v>
      </c>
      <c r="G21" s="2"/>
      <c r="H21" s="7">
        <v>673.19318387769204</v>
      </c>
      <c r="I21" s="2"/>
      <c r="J21" s="6">
        <f t="shared" si="5"/>
        <v>1.854015929159163E-2</v>
      </c>
      <c r="K21" s="2"/>
      <c r="L21" s="7">
        <f t="shared" si="6"/>
        <v>377.17681612230786</v>
      </c>
      <c r="M21" s="2"/>
      <c r="N21" s="6">
        <f t="shared" si="7"/>
        <v>0.56028020656672983</v>
      </c>
      <c r="O21" s="11"/>
      <c r="P21" s="7">
        <v>3453.44</v>
      </c>
      <c r="Q21" s="2"/>
      <c r="R21" s="6">
        <f t="shared" si="8"/>
        <v>1.3635408852213054E-2</v>
      </c>
      <c r="S21" s="2"/>
      <c r="T21" s="7">
        <v>4176.7012226024999</v>
      </c>
      <c r="U21" s="2"/>
      <c r="V21" s="6">
        <f t="shared" si="9"/>
        <v>1.6263589548046634E-2</v>
      </c>
      <c r="W21" s="2"/>
      <c r="X21" s="7">
        <f t="shared" si="10"/>
        <v>-723.26122260249986</v>
      </c>
      <c r="Y21" s="2"/>
      <c r="Z21" s="6">
        <f t="shared" si="11"/>
        <v>-0.17316565970496597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7">
        <v>158.59</v>
      </c>
      <c r="E22" s="2"/>
      <c r="F22" s="6">
        <f t="shared" si="4"/>
        <v>9.1049489034332309E-3</v>
      </c>
      <c r="G22" s="2"/>
      <c r="H22" s="7">
        <v>316.00079640000001</v>
      </c>
      <c r="I22" s="2"/>
      <c r="J22" s="6">
        <f t="shared" si="5"/>
        <v>8.7028586174607552E-3</v>
      </c>
      <c r="K22" s="2"/>
      <c r="L22" s="7">
        <f t="shared" si="6"/>
        <v>-157.41079640000001</v>
      </c>
      <c r="M22" s="2"/>
      <c r="N22" s="6">
        <f t="shared" si="7"/>
        <v>-0.49813417622133566</v>
      </c>
      <c r="O22" s="11"/>
      <c r="P22" s="7">
        <v>496.73</v>
      </c>
      <c r="Q22" s="2"/>
      <c r="R22" s="6">
        <f t="shared" si="8"/>
        <v>1.9612666324475858E-3</v>
      </c>
      <c r="S22" s="2"/>
      <c r="T22" s="7">
        <v>1030.1615882999999</v>
      </c>
      <c r="U22" s="2"/>
      <c r="V22" s="6">
        <f t="shared" si="9"/>
        <v>4.0113295989688998E-3</v>
      </c>
      <c r="W22" s="2"/>
      <c r="X22" s="7">
        <f t="shared" si="10"/>
        <v>-533.43158829999993</v>
      </c>
      <c r="Y22" s="2"/>
      <c r="Z22" s="6">
        <f t="shared" si="11"/>
        <v>-0.5178135103836311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7">
        <v>1054.3499999999999</v>
      </c>
      <c r="E23" s="2"/>
      <c r="F23" s="6">
        <f t="shared" si="4"/>
        <v>6.0532208060626931E-2</v>
      </c>
      <c r="G23" s="2"/>
      <c r="H23" s="7">
        <v>1022.5</v>
      </c>
      <c r="I23" s="2"/>
      <c r="J23" s="6">
        <f t="shared" si="5"/>
        <v>2.8160286422473146E-2</v>
      </c>
      <c r="K23" s="2"/>
      <c r="L23" s="7">
        <f t="shared" si="6"/>
        <v>31.849999999999909</v>
      </c>
      <c r="M23" s="2"/>
      <c r="N23" s="6">
        <f t="shared" si="7"/>
        <v>3.114914425427864E-2</v>
      </c>
      <c r="O23" s="11"/>
      <c r="P23" s="7">
        <v>3163.05</v>
      </c>
      <c r="Q23" s="2"/>
      <c r="R23" s="6">
        <f t="shared" si="8"/>
        <v>1.2488845895684449E-2</v>
      </c>
      <c r="S23" s="2"/>
      <c r="T23" s="7">
        <v>3067.5</v>
      </c>
      <c r="U23" s="2"/>
      <c r="V23" s="6">
        <f t="shared" si="9"/>
        <v>1.1944488791455262E-2</v>
      </c>
      <c r="W23" s="2"/>
      <c r="X23" s="7">
        <f t="shared" si="10"/>
        <v>95.550000000000182</v>
      </c>
      <c r="Y23" s="2"/>
      <c r="Z23" s="6">
        <f t="shared" si="11"/>
        <v>3.1149144254278789E-2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7">
        <v>31.46</v>
      </c>
      <c r="E24" s="2"/>
      <c r="F24" s="6">
        <f t="shared" si="4"/>
        <v>1.8061775175106213E-3</v>
      </c>
      <c r="G24" s="2"/>
      <c r="H24" s="7">
        <v>42.5385687461538</v>
      </c>
      <c r="I24" s="2"/>
      <c r="J24" s="6">
        <f t="shared" si="5"/>
        <v>1.1715386600427925E-3</v>
      </c>
      <c r="K24" s="2"/>
      <c r="L24" s="7">
        <f t="shared" si="6"/>
        <v>-11.078568746153799</v>
      </c>
      <c r="M24" s="2"/>
      <c r="N24" s="6">
        <f t="shared" si="7"/>
        <v>-0.26043586027222621</v>
      </c>
      <c r="O24" s="11"/>
      <c r="P24" s="7">
        <v>98.1</v>
      </c>
      <c r="Q24" s="2"/>
      <c r="R24" s="6">
        <f t="shared" si="8"/>
        <v>3.8733367552414418E-4</v>
      </c>
      <c r="S24" s="2"/>
      <c r="T24" s="7">
        <v>138.675598425</v>
      </c>
      <c r="U24" s="2"/>
      <c r="V24" s="6">
        <f t="shared" si="9"/>
        <v>5.39986676784275E-4</v>
      </c>
      <c r="W24" s="2"/>
      <c r="X24" s="7">
        <f t="shared" si="10"/>
        <v>-40.57559842500001</v>
      </c>
      <c r="Y24" s="2"/>
      <c r="Z24" s="6">
        <f t="shared" si="11"/>
        <v>-0.29259364218243872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7">
        <v>586.58000000000004</v>
      </c>
      <c r="E25" s="2"/>
      <c r="F25" s="6">
        <f t="shared" si="4"/>
        <v>3.3676656332529573E-2</v>
      </c>
      <c r="G25" s="2"/>
      <c r="H25" s="7">
        <v>576.92767246153903</v>
      </c>
      <c r="I25" s="2"/>
      <c r="J25" s="6">
        <f t="shared" si="5"/>
        <v>1.5888947189797276E-2</v>
      </c>
      <c r="K25" s="2"/>
      <c r="L25" s="7">
        <f t="shared" si="6"/>
        <v>9.6523275384610088</v>
      </c>
      <c r="M25" s="2"/>
      <c r="N25" s="6">
        <f t="shared" si="7"/>
        <v>1.6730567797654881E-2</v>
      </c>
      <c r="O25" s="11"/>
      <c r="P25" s="7">
        <v>1759.74</v>
      </c>
      <c r="Q25" s="2"/>
      <c r="R25" s="6">
        <f t="shared" si="8"/>
        <v>6.9480791250444186E-3</v>
      </c>
      <c r="S25" s="2"/>
      <c r="T25" s="7">
        <v>1875.0149355000001</v>
      </c>
      <c r="U25" s="2"/>
      <c r="V25" s="6">
        <f t="shared" si="9"/>
        <v>7.3010904257183248E-3</v>
      </c>
      <c r="W25" s="2"/>
      <c r="X25" s="7">
        <f t="shared" si="10"/>
        <v>-115.27493550000008</v>
      </c>
      <c r="Y25" s="2"/>
      <c r="Z25" s="6">
        <f t="shared" si="11"/>
        <v>-6.1479475879086976E-2</v>
      </c>
    </row>
    <row r="26" spans="1:26" s="24" customFormat="1" hidden="1" outlineLevel="2" x14ac:dyDescent="0.25">
      <c r="A26" s="29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9"/>
      <c r="B27" s="11" t="str">
        <f>CONCATENATE("          ", "6117", " - ", "RETIREMENT STAFF HOURLY")</f>
        <v xml:space="preserve">          6117 - RETIREMENT STAFF HOURLY</v>
      </c>
      <c r="C27" s="11"/>
      <c r="D27" s="7"/>
      <c r="E27" s="2"/>
      <c r="F27" s="6">
        <f t="shared" si="4"/>
        <v>0</v>
      </c>
      <c r="G27" s="2"/>
      <c r="H27" s="7"/>
      <c r="I27" s="2"/>
      <c r="J27" s="6">
        <f t="shared" si="5"/>
        <v>0</v>
      </c>
      <c r="K27" s="2"/>
      <c r="L27" s="7">
        <f t="shared" si="6"/>
        <v>0</v>
      </c>
      <c r="M27" s="2"/>
      <c r="N27" s="6">
        <f t="shared" si="7"/>
        <v>0</v>
      </c>
      <c r="O27" s="11"/>
      <c r="P27" s="7">
        <v>215.15</v>
      </c>
      <c r="Q27" s="2"/>
      <c r="R27" s="6">
        <f t="shared" si="8"/>
        <v>8.4948868796146408E-4</v>
      </c>
      <c r="S27" s="2"/>
      <c r="T27" s="7"/>
      <c r="U27" s="2"/>
      <c r="V27" s="6">
        <f t="shared" si="9"/>
        <v>0</v>
      </c>
      <c r="W27" s="2"/>
      <c r="X27" s="7">
        <f t="shared" si="10"/>
        <v>215.15</v>
      </c>
      <c r="Y27" s="2"/>
      <c r="Z27" s="6">
        <f t="shared" si="11"/>
        <v>0</v>
      </c>
    </row>
    <row r="28" spans="1:26" s="24" customFormat="1" hidden="1" outlineLevel="2" x14ac:dyDescent="0.25">
      <c r="A28" s="29"/>
      <c r="B28" s="11" t="str">
        <f>CONCATENATE("          ", "6118", " - ", "VACATION")</f>
        <v xml:space="preserve">          6118 - VACATION</v>
      </c>
      <c r="C28" s="11"/>
      <c r="D28" s="7">
        <v>413.76</v>
      </c>
      <c r="E28" s="2"/>
      <c r="F28" s="6">
        <f t="shared" si="4"/>
        <v>2.3754736479503959E-2</v>
      </c>
      <c r="G28" s="2"/>
      <c r="H28" s="7">
        <v>201.25383923076899</v>
      </c>
      <c r="I28" s="2"/>
      <c r="J28" s="6">
        <f t="shared" si="5"/>
        <v>5.5426559964408973E-3</v>
      </c>
      <c r="K28" s="2"/>
      <c r="L28" s="7">
        <f t="shared" si="6"/>
        <v>212.506160769231</v>
      </c>
      <c r="M28" s="2"/>
      <c r="N28" s="6">
        <f t="shared" si="7"/>
        <v>1.0559110901012898</v>
      </c>
      <c r="O28" s="11"/>
      <c r="P28" s="7">
        <v>1241.28</v>
      </c>
      <c r="Q28" s="2"/>
      <c r="R28" s="6">
        <f t="shared" si="8"/>
        <v>4.9010147273660523E-3</v>
      </c>
      <c r="S28" s="2"/>
      <c r="T28" s="7">
        <v>654.07497750000005</v>
      </c>
      <c r="U28" s="2"/>
      <c r="V28" s="6">
        <f t="shared" si="9"/>
        <v>2.5468920089715087E-3</v>
      </c>
      <c r="W28" s="2"/>
      <c r="X28" s="7">
        <f t="shared" si="10"/>
        <v>587.20502249999993</v>
      </c>
      <c r="Y28" s="2"/>
      <c r="Z28" s="6">
        <f t="shared" si="11"/>
        <v>0.89776408317041889</v>
      </c>
    </row>
    <row r="29" spans="1:26" s="24" customFormat="1" hidden="1" outlineLevel="2" x14ac:dyDescent="0.25">
      <c r="A29" s="29"/>
      <c r="B29" s="11" t="str">
        <f>CONCATENATE("          ", "6119", " - ", "SICK LEAVE")</f>
        <v xml:space="preserve">          6119 - SICK LEAVE</v>
      </c>
      <c r="C29" s="11"/>
      <c r="D29" s="7">
        <v>266.91000000000003</v>
      </c>
      <c r="E29" s="2"/>
      <c r="F29" s="6">
        <f t="shared" si="4"/>
        <v>1.5323802962452636E-2</v>
      </c>
      <c r="G29" s="2"/>
      <c r="H29" s="7">
        <v>540.60922615384595</v>
      </c>
      <c r="I29" s="2"/>
      <c r="J29" s="6">
        <f t="shared" si="5"/>
        <v>1.4888714573226273E-2</v>
      </c>
      <c r="K29" s="2"/>
      <c r="L29" s="7">
        <f t="shared" si="6"/>
        <v>-273.69922615384593</v>
      </c>
      <c r="M29" s="2"/>
      <c r="N29" s="6">
        <f t="shared" si="7"/>
        <v>-0.50627923629989424</v>
      </c>
      <c r="O29" s="11"/>
      <c r="P29" s="7">
        <v>800.73</v>
      </c>
      <c r="Q29" s="2"/>
      <c r="R29" s="6">
        <f t="shared" si="8"/>
        <v>3.1615667074663405E-3</v>
      </c>
      <c r="S29" s="2"/>
      <c r="T29" s="7">
        <v>1763.054985</v>
      </c>
      <c r="U29" s="2"/>
      <c r="V29" s="6">
        <f t="shared" si="9"/>
        <v>6.8651313796419967E-3</v>
      </c>
      <c r="W29" s="2"/>
      <c r="X29" s="7">
        <f t="shared" si="10"/>
        <v>-962.32498499999997</v>
      </c>
      <c r="Y29" s="2"/>
      <c r="Z29" s="6">
        <f t="shared" si="11"/>
        <v>-0.54582811834425005</v>
      </c>
    </row>
    <row r="30" spans="1:26" s="28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13682.830000000002</v>
      </c>
      <c r="E30" s="1"/>
      <c r="F30" s="5">
        <f t="shared" ref="F30:F40" si="12">IF(D$12=0,0,D30/D$12)</f>
        <v>0.78555689516592042</v>
      </c>
      <c r="G30" s="1"/>
      <c r="H30" s="1">
        <f>SUM(OSRRefH22_1x_0)</f>
        <v>19921.038242307688</v>
      </c>
      <c r="I30" s="1"/>
      <c r="J30" s="5">
        <f t="shared" ref="J30:J40" si="13">IF(H$12=0,0,H30/H$12)</f>
        <v>0.54863779240726218</v>
      </c>
      <c r="K30" s="1"/>
      <c r="L30" s="1">
        <f t="shared" ref="L30:L40" si="14">+D30-H30</f>
        <v>-6238.2082423076863</v>
      </c>
      <c r="M30" s="1"/>
      <c r="N30" s="5">
        <f t="shared" ref="N30:N40" si="15">IF(H30=0,0,L30/H30)</f>
        <v>-0.31314674297744038</v>
      </c>
      <c r="O30" s="14"/>
      <c r="P30" s="1">
        <f>SUM(OSRRefP22_1x_0)</f>
        <v>50138.5</v>
      </c>
      <c r="Q30" s="1"/>
      <c r="R30" s="5">
        <f t="shared" ref="R30:R40" si="16">IF(P$12=0,0,P30/P$12)</f>
        <v>0.19796462273463103</v>
      </c>
      <c r="S30" s="1"/>
      <c r="T30" s="1">
        <f>SUM(OSRRefT22_1x_0)</f>
        <v>64945.874287500003</v>
      </c>
      <c r="U30" s="1"/>
      <c r="V30" s="5">
        <f t="shared" ref="V30:V40" si="17">IF(T$12=0,0,T30/T$12)</f>
        <v>0.25289169273946416</v>
      </c>
      <c r="W30" s="1"/>
      <c r="X30" s="1">
        <f t="shared" ref="X30:X40" si="18">+P30-T30</f>
        <v>-14807.374287500003</v>
      </c>
      <c r="Y30" s="1"/>
      <c r="Z30" s="5">
        <f t="shared" ref="Z30:Z40" si="19">IF(T30=0,0,X30/T30)</f>
        <v>-0.22799561095984733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>
        <v>4479.1000000000004</v>
      </c>
      <c r="E31" s="2"/>
      <c r="F31" s="6">
        <f t="shared" si="12"/>
        <v>0.25715351934780117</v>
      </c>
      <c r="G31" s="2"/>
      <c r="H31" s="7">
        <v>4139.8076923076896</v>
      </c>
      <c r="I31" s="2"/>
      <c r="J31" s="6">
        <f t="shared" si="13"/>
        <v>0.11401288053725392</v>
      </c>
      <c r="K31" s="2"/>
      <c r="L31" s="7">
        <f t="shared" si="14"/>
        <v>339.29230769231071</v>
      </c>
      <c r="M31" s="2"/>
      <c r="N31" s="6">
        <f t="shared" si="15"/>
        <v>8.1958470757653959E-2</v>
      </c>
      <c r="O31" s="11"/>
      <c r="P31" s="7">
        <v>14557.3</v>
      </c>
      <c r="Q31" s="2"/>
      <c r="R31" s="6">
        <f t="shared" si="16"/>
        <v>5.7477395664705645E-2</v>
      </c>
      <c r="S31" s="2"/>
      <c r="T31" s="7">
        <v>13454.375</v>
      </c>
      <c r="U31" s="2"/>
      <c r="V31" s="6">
        <f t="shared" si="17"/>
        <v>5.2389773882163287E-2</v>
      </c>
      <c r="W31" s="2"/>
      <c r="X31" s="7">
        <f t="shared" si="18"/>
        <v>1102.9249999999993</v>
      </c>
      <c r="Y31" s="2"/>
      <c r="Z31" s="6">
        <f t="shared" si="19"/>
        <v>8.1975193942490768E-2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7">
        <v>1307.68</v>
      </c>
      <c r="E32" s="2"/>
      <c r="F32" s="6">
        <f t="shared" si="12"/>
        <v>7.5076357790791137E-2</v>
      </c>
      <c r="G32" s="2"/>
      <c r="H32" s="7">
        <v>2233.2305500000002</v>
      </c>
      <c r="I32" s="2"/>
      <c r="J32" s="6">
        <f t="shared" si="13"/>
        <v>6.1504559350041316E-2</v>
      </c>
      <c r="K32" s="2"/>
      <c r="L32" s="7">
        <f t="shared" si="14"/>
        <v>-925.55055000000016</v>
      </c>
      <c r="M32" s="2"/>
      <c r="N32" s="6">
        <f t="shared" si="15"/>
        <v>-0.41444469313748195</v>
      </c>
      <c r="O32" s="11"/>
      <c r="P32" s="7">
        <v>8055.98</v>
      </c>
      <c r="Q32" s="2"/>
      <c r="R32" s="6">
        <f t="shared" si="16"/>
        <v>3.18078730208868E-2</v>
      </c>
      <c r="S32" s="2"/>
      <c r="T32" s="7">
        <v>7257.9992874999998</v>
      </c>
      <c r="U32" s="2"/>
      <c r="V32" s="6">
        <f t="shared" si="17"/>
        <v>2.8261806401934479E-2</v>
      </c>
      <c r="W32" s="2"/>
      <c r="X32" s="7">
        <f t="shared" si="18"/>
        <v>797.98071249999975</v>
      </c>
      <c r="Y32" s="2"/>
      <c r="Z32" s="6">
        <f t="shared" si="19"/>
        <v>0.10994499735957708</v>
      </c>
    </row>
    <row r="33" spans="1:26" s="24" customFormat="1" hidden="1" outlineLevel="2" x14ac:dyDescent="0.25">
      <c r="A33" s="29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>
        <v>2588</v>
      </c>
      <c r="E34" s="2"/>
      <c r="F34" s="6">
        <f t="shared" si="12"/>
        <v>0.14858192674245033</v>
      </c>
      <c r="G34" s="2"/>
      <c r="H34" s="7">
        <v>2088</v>
      </c>
      <c r="I34" s="2"/>
      <c r="J34" s="6">
        <f t="shared" si="13"/>
        <v>5.7504819608923161E-2</v>
      </c>
      <c r="K34" s="2"/>
      <c r="L34" s="7">
        <f t="shared" si="14"/>
        <v>500</v>
      </c>
      <c r="M34" s="2"/>
      <c r="N34" s="6">
        <f t="shared" si="15"/>
        <v>0.23946360153256704</v>
      </c>
      <c r="O34" s="11"/>
      <c r="P34" s="7">
        <v>4910.3999999999996</v>
      </c>
      <c r="Q34" s="2"/>
      <c r="R34" s="6">
        <f t="shared" si="16"/>
        <v>1.938800489596083E-2</v>
      </c>
      <c r="S34" s="2"/>
      <c r="T34" s="7">
        <v>6786</v>
      </c>
      <c r="U34" s="2"/>
      <c r="V34" s="6">
        <f t="shared" si="17"/>
        <v>2.6423895986573888E-2</v>
      </c>
      <c r="W34" s="2"/>
      <c r="X34" s="7">
        <f t="shared" si="18"/>
        <v>-1875.6000000000004</v>
      </c>
      <c r="Y34" s="2"/>
      <c r="Z34" s="6">
        <f t="shared" si="19"/>
        <v>-0.27639257294429714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>
        <v>5433.05</v>
      </c>
      <c r="E35" s="2"/>
      <c r="F35" s="6">
        <f t="shared" si="12"/>
        <v>0.31192157538178894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5433.05</v>
      </c>
      <c r="M35" s="2"/>
      <c r="N35" s="6">
        <f t="shared" si="15"/>
        <v>0</v>
      </c>
      <c r="O35" s="11"/>
      <c r="P35" s="7">
        <v>18843.12</v>
      </c>
      <c r="Q35" s="2"/>
      <c r="R35" s="6">
        <f t="shared" si="16"/>
        <v>7.4399336676274325E-2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18843.12</v>
      </c>
      <c r="Y35" s="2"/>
      <c r="Z35" s="6">
        <f t="shared" si="19"/>
        <v>0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/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7">
        <v>-125</v>
      </c>
      <c r="E37" s="2"/>
      <c r="F37" s="6">
        <f t="shared" si="12"/>
        <v>-7.1764840969112415E-3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-125</v>
      </c>
      <c r="M37" s="2"/>
      <c r="N37" s="6">
        <f t="shared" si="15"/>
        <v>0</v>
      </c>
      <c r="O37" s="11"/>
      <c r="P37" s="7">
        <v>3771.7</v>
      </c>
      <c r="Q37" s="2"/>
      <c r="R37" s="6">
        <f t="shared" si="16"/>
        <v>1.4892012476803411E-2</v>
      </c>
      <c r="S37" s="2"/>
      <c r="T37" s="7">
        <v>25987.5</v>
      </c>
      <c r="U37" s="2"/>
      <c r="V37" s="6">
        <f t="shared" si="17"/>
        <v>0.1011923072430134</v>
      </c>
      <c r="W37" s="2"/>
      <c r="X37" s="7">
        <f t="shared" si="18"/>
        <v>-22215.8</v>
      </c>
      <c r="Y37" s="2"/>
      <c r="Z37" s="6">
        <f t="shared" si="19"/>
        <v>-0.85486483886483888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12"/>
        <v>0</v>
      </c>
      <c r="G38" s="2"/>
      <c r="H38" s="7">
        <v>11460</v>
      </c>
      <c r="I38" s="2"/>
      <c r="J38" s="6">
        <f t="shared" si="13"/>
        <v>0.31561553291104377</v>
      </c>
      <c r="K38" s="2"/>
      <c r="L38" s="7">
        <f t="shared" si="14"/>
        <v>-11460</v>
      </c>
      <c r="M38" s="2"/>
      <c r="N38" s="6">
        <f t="shared" si="15"/>
        <v>-1</v>
      </c>
      <c r="O38" s="11"/>
      <c r="P38" s="7"/>
      <c r="Q38" s="2"/>
      <c r="R38" s="6">
        <f t="shared" si="16"/>
        <v>0</v>
      </c>
      <c r="S38" s="2"/>
      <c r="T38" s="7">
        <v>11460</v>
      </c>
      <c r="U38" s="2"/>
      <c r="V38" s="6">
        <f t="shared" si="17"/>
        <v>4.4623909225779065E-2</v>
      </c>
      <c r="W38" s="2"/>
      <c r="X38" s="7">
        <f t="shared" si="18"/>
        <v>-11460</v>
      </c>
      <c r="Y38" s="2"/>
      <c r="Z38" s="6">
        <f t="shared" si="19"/>
        <v>-1</v>
      </c>
    </row>
    <row r="39" spans="1:26" s="24" customFormat="1" hidden="1" outlineLevel="2" x14ac:dyDescent="0.25">
      <c r="A39" s="29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9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8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17.64</v>
      </c>
      <c r="E41" s="1"/>
      <c r="F41" s="5">
        <f t="shared" ref="F41:F49" si="20">IF(D$12=0,0,D41/D$12)</f>
        <v>1.0127454357561144E-3</v>
      </c>
      <c r="G41" s="1"/>
      <c r="H41" s="1">
        <f>SUM(OSRRefH22_2x_0)</f>
        <v>100</v>
      </c>
      <c r="I41" s="1"/>
      <c r="J41" s="5">
        <f t="shared" ref="J41:J49" si="21">IF(H$12=0,0,H41/H$12)</f>
        <v>2.7540622418066648E-3</v>
      </c>
      <c r="K41" s="1"/>
      <c r="L41" s="1">
        <f t="shared" ref="L41:L49" si="22">+D41-H41</f>
        <v>-82.36</v>
      </c>
      <c r="M41" s="1"/>
      <c r="N41" s="5">
        <f t="shared" ref="N41:N49" si="23">IF(H41=0,0,L41/H41)</f>
        <v>-0.8236</v>
      </c>
      <c r="O41" s="14"/>
      <c r="P41" s="1">
        <f>SUM(OSRRefP22_2x_0)</f>
        <v>35.28</v>
      </c>
      <c r="Q41" s="1"/>
      <c r="R41" s="5">
        <f t="shared" ref="R41:R49" si="24">IF(P$12=0,0,P41/P$12)</f>
        <v>1.3929798239033442E-4</v>
      </c>
      <c r="S41" s="1"/>
      <c r="T41" s="1">
        <f>SUM(OSRRefT22_2x_0)</f>
        <v>300</v>
      </c>
      <c r="U41" s="1"/>
      <c r="V41" s="5">
        <f t="shared" ref="V41:V49" si="25">IF(T$12=0,0,T41/T$12)</f>
        <v>1.1681651629785097E-3</v>
      </c>
      <c r="W41" s="1"/>
      <c r="X41" s="1">
        <f t="shared" ref="X41:X49" si="26">+P41-T41</f>
        <v>-264.72000000000003</v>
      </c>
      <c r="Y41" s="1"/>
      <c r="Z41" s="5">
        <f t="shared" ref="Z41:Z49" si="27">IF(T41=0,0,X41/T41)</f>
        <v>-0.88240000000000007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7">
        <v>17.64</v>
      </c>
      <c r="E42" s="2"/>
      <c r="F42" s="6">
        <f t="shared" si="20"/>
        <v>1.0127454357561144E-3</v>
      </c>
      <c r="G42" s="2"/>
      <c r="H42" s="7">
        <v>100</v>
      </c>
      <c r="I42" s="2"/>
      <c r="J42" s="6">
        <f t="shared" si="21"/>
        <v>2.7540622418066648E-3</v>
      </c>
      <c r="K42" s="2"/>
      <c r="L42" s="7">
        <f t="shared" si="22"/>
        <v>-82.36</v>
      </c>
      <c r="M42" s="2"/>
      <c r="N42" s="6">
        <f t="shared" si="23"/>
        <v>-0.8236</v>
      </c>
      <c r="O42" s="11"/>
      <c r="P42" s="7">
        <v>35.28</v>
      </c>
      <c r="Q42" s="2"/>
      <c r="R42" s="6">
        <f t="shared" si="24"/>
        <v>1.3929798239033442E-4</v>
      </c>
      <c r="S42" s="2"/>
      <c r="T42" s="7">
        <v>300</v>
      </c>
      <c r="U42" s="2"/>
      <c r="V42" s="6">
        <f t="shared" si="25"/>
        <v>1.1681651629785097E-3</v>
      </c>
      <c r="W42" s="2"/>
      <c r="X42" s="7">
        <f t="shared" si="26"/>
        <v>-264.72000000000003</v>
      </c>
      <c r="Y42" s="2"/>
      <c r="Z42" s="6">
        <f t="shared" si="27"/>
        <v>-0.88240000000000007</v>
      </c>
    </row>
    <row r="43" spans="1:26" s="28" customFormat="1" outlineLevel="1" collapsed="1" x14ac:dyDescent="0.25">
      <c r="A43" s="27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460.95</v>
      </c>
      <c r="E43" s="1"/>
      <c r="F43" s="5">
        <f t="shared" si="20"/>
        <v>2.6464002755769891E-2</v>
      </c>
      <c r="G43" s="1"/>
      <c r="H43" s="1">
        <f>SUM(OSRRefH22_3x_0)</f>
        <v>1250</v>
      </c>
      <c r="I43" s="1"/>
      <c r="J43" s="5">
        <f t="shared" si="21"/>
        <v>3.4425778022583307E-2</v>
      </c>
      <c r="K43" s="1"/>
      <c r="L43" s="1">
        <f t="shared" si="22"/>
        <v>-789.05</v>
      </c>
      <c r="M43" s="1"/>
      <c r="N43" s="5">
        <f t="shared" si="23"/>
        <v>-0.63123999999999991</v>
      </c>
      <c r="O43" s="14"/>
      <c r="P43" s="1">
        <f>SUM(OSRRefP22_3x_0)</f>
        <v>972.21</v>
      </c>
      <c r="Q43" s="1"/>
      <c r="R43" s="5">
        <f t="shared" si="24"/>
        <v>3.8386307103091565E-3</v>
      </c>
      <c r="S43" s="1"/>
      <c r="T43" s="1">
        <f>SUM(OSRRefT22_3x_0)</f>
        <v>3750</v>
      </c>
      <c r="U43" s="1"/>
      <c r="V43" s="5">
        <f t="shared" si="25"/>
        <v>1.460206453723137E-2</v>
      </c>
      <c r="W43" s="1"/>
      <c r="X43" s="1">
        <f t="shared" si="26"/>
        <v>-2777.79</v>
      </c>
      <c r="Y43" s="1"/>
      <c r="Z43" s="5">
        <f t="shared" si="27"/>
        <v>-0.74074399999999996</v>
      </c>
    </row>
    <row r="44" spans="1:26" s="24" customFormat="1" hidden="1" outlineLevel="2" x14ac:dyDescent="0.25">
      <c r="A44" s="29"/>
      <c r="B44" s="11" t="str">
        <f>CONCATENATE("          ", "6381", " - ", "BANK/CREDIT CARD FEES")</f>
        <v xml:space="preserve">          6381 - BANK/CREDIT CARD FEES</v>
      </c>
      <c r="C44" s="11"/>
      <c r="D44" s="7">
        <v>460.95</v>
      </c>
      <c r="E44" s="2"/>
      <c r="F44" s="6">
        <f t="shared" si="20"/>
        <v>2.6464002755769891E-2</v>
      </c>
      <c r="G44" s="2"/>
      <c r="H44" s="7">
        <v>1250</v>
      </c>
      <c r="I44" s="2"/>
      <c r="J44" s="6">
        <f t="shared" si="21"/>
        <v>3.4425778022583307E-2</v>
      </c>
      <c r="K44" s="2"/>
      <c r="L44" s="7">
        <f t="shared" si="22"/>
        <v>-789.05</v>
      </c>
      <c r="M44" s="2"/>
      <c r="N44" s="6">
        <f t="shared" si="23"/>
        <v>-0.63123999999999991</v>
      </c>
      <c r="O44" s="11"/>
      <c r="P44" s="7">
        <v>972.21</v>
      </c>
      <c r="Q44" s="2"/>
      <c r="R44" s="6">
        <f t="shared" si="24"/>
        <v>3.8386307103091565E-3</v>
      </c>
      <c r="S44" s="2"/>
      <c r="T44" s="7">
        <v>3750</v>
      </c>
      <c r="U44" s="2"/>
      <c r="V44" s="6">
        <f t="shared" si="25"/>
        <v>1.460206453723137E-2</v>
      </c>
      <c r="W44" s="2"/>
      <c r="X44" s="7">
        <f t="shared" si="26"/>
        <v>-2777.79</v>
      </c>
      <c r="Y44" s="2"/>
      <c r="Z44" s="6">
        <f t="shared" si="27"/>
        <v>-0.74074399999999996</v>
      </c>
    </row>
    <row r="45" spans="1:26" s="28" customFormat="1" outlineLevel="1" collapsed="1" x14ac:dyDescent="0.25">
      <c r="A45" s="27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20</v>
      </c>
      <c r="I45" s="1"/>
      <c r="J45" s="5">
        <f t="shared" si="21"/>
        <v>5.50812448361333E-4</v>
      </c>
      <c r="K45" s="1"/>
      <c r="L45" s="1">
        <f t="shared" si="22"/>
        <v>-20</v>
      </c>
      <c r="M45" s="1"/>
      <c r="N45" s="5">
        <f t="shared" si="23"/>
        <v>-1</v>
      </c>
      <c r="O45" s="14"/>
      <c r="P45" s="1">
        <f>SUM(OSRRefP22_4x_0)</f>
        <v>0</v>
      </c>
      <c r="Q45" s="1"/>
      <c r="R45" s="5">
        <f t="shared" si="24"/>
        <v>0</v>
      </c>
      <c r="S45" s="1"/>
      <c r="T45" s="1">
        <f>SUM(OSRRefT22_4x_0)</f>
        <v>60</v>
      </c>
      <c r="U45" s="1"/>
      <c r="V45" s="5">
        <f t="shared" si="25"/>
        <v>2.3363303259570193E-4</v>
      </c>
      <c r="W45" s="1"/>
      <c r="X45" s="1">
        <f t="shared" si="26"/>
        <v>-60</v>
      </c>
      <c r="Y45" s="1"/>
      <c r="Z45" s="5">
        <f t="shared" si="27"/>
        <v>-1</v>
      </c>
    </row>
    <row r="46" spans="1:26" s="24" customFormat="1" hidden="1" outlineLevel="2" x14ac:dyDescent="0.25">
      <c r="A46" s="29"/>
      <c r="B46" s="11" t="str">
        <f>CONCATENATE("          ", "6277", " - ", "EMPLOYEE APPRECIATION")</f>
        <v xml:space="preserve">          6277 - EMPLOYEE APPRECIATION</v>
      </c>
      <c r="C46" s="11"/>
      <c r="D46" s="7"/>
      <c r="E46" s="2"/>
      <c r="F46" s="6">
        <f t="shared" si="20"/>
        <v>0</v>
      </c>
      <c r="G46" s="2"/>
      <c r="H46" s="7">
        <v>20</v>
      </c>
      <c r="I46" s="2"/>
      <c r="J46" s="6">
        <f t="shared" si="21"/>
        <v>5.50812448361333E-4</v>
      </c>
      <c r="K46" s="2"/>
      <c r="L46" s="7">
        <f t="shared" si="22"/>
        <v>-20</v>
      </c>
      <c r="M46" s="2"/>
      <c r="N46" s="6">
        <f t="shared" si="23"/>
        <v>-1</v>
      </c>
      <c r="O46" s="11"/>
      <c r="P46" s="7"/>
      <c r="Q46" s="2"/>
      <c r="R46" s="6">
        <f t="shared" si="24"/>
        <v>0</v>
      </c>
      <c r="S46" s="2"/>
      <c r="T46" s="7">
        <v>60</v>
      </c>
      <c r="U46" s="2"/>
      <c r="V46" s="6">
        <f t="shared" si="25"/>
        <v>2.3363303259570193E-4</v>
      </c>
      <c r="W46" s="2"/>
      <c r="X46" s="7">
        <f t="shared" si="26"/>
        <v>-60</v>
      </c>
      <c r="Y46" s="2"/>
      <c r="Z46" s="6">
        <f t="shared" si="27"/>
        <v>-1</v>
      </c>
    </row>
    <row r="47" spans="1:26" s="28" customFormat="1" outlineLevel="1" collapsed="1" x14ac:dyDescent="0.25">
      <c r="A47" s="27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SUM(OSRRefD22_5x_0)</f>
        <v>0.31</v>
      </c>
      <c r="E47" s="1"/>
      <c r="F47" s="5">
        <f t="shared" si="20"/>
        <v>1.7797680560339877E-5</v>
      </c>
      <c r="G47" s="1"/>
      <c r="H47" s="1">
        <f>SUM(OSRRefH22_5x_0)</f>
        <v>10</v>
      </c>
      <c r="I47" s="1"/>
      <c r="J47" s="5">
        <f t="shared" si="21"/>
        <v>2.754062241806665E-4</v>
      </c>
      <c r="K47" s="1"/>
      <c r="L47" s="1">
        <f t="shared" si="22"/>
        <v>-9.69</v>
      </c>
      <c r="M47" s="1"/>
      <c r="N47" s="5">
        <f t="shared" si="23"/>
        <v>-0.96899999999999997</v>
      </c>
      <c r="O47" s="14"/>
      <c r="P47" s="1">
        <f>SUM(OSRRefP22_5x_0)</f>
        <v>0.31</v>
      </c>
      <c r="Q47" s="1"/>
      <c r="R47" s="5">
        <f t="shared" si="24"/>
        <v>1.2239902080783354E-6</v>
      </c>
      <c r="S47" s="1"/>
      <c r="T47" s="1">
        <f>SUM(OSRRefT22_5x_0)</f>
        <v>30</v>
      </c>
      <c r="U47" s="1"/>
      <c r="V47" s="5">
        <f t="shared" si="25"/>
        <v>1.1681651629785096E-4</v>
      </c>
      <c r="W47" s="1"/>
      <c r="X47" s="1">
        <f t="shared" si="26"/>
        <v>-29.69</v>
      </c>
      <c r="Y47" s="1"/>
      <c r="Z47" s="5">
        <f t="shared" si="27"/>
        <v>-0.98966666666666669</v>
      </c>
    </row>
    <row r="48" spans="1:26" s="24" customFormat="1" hidden="1" outlineLevel="2" x14ac:dyDescent="0.25">
      <c r="A48" s="29"/>
      <c r="B48" s="11" t="str">
        <f>CONCATENATE("          ", "6305", " - ", "FREIGHT OUT")</f>
        <v xml:space="preserve">          6305 - FREIGHT OUT</v>
      </c>
      <c r="C48" s="11"/>
      <c r="D48" s="7">
        <v>0.31</v>
      </c>
      <c r="E48" s="2"/>
      <c r="F48" s="6">
        <f t="shared" si="20"/>
        <v>1.7797680560339877E-5</v>
      </c>
      <c r="G48" s="2"/>
      <c r="H48" s="7"/>
      <c r="I48" s="2"/>
      <c r="J48" s="6">
        <f t="shared" si="21"/>
        <v>0</v>
      </c>
      <c r="K48" s="2"/>
      <c r="L48" s="7">
        <f t="shared" si="22"/>
        <v>0.31</v>
      </c>
      <c r="M48" s="2"/>
      <c r="N48" s="6">
        <f t="shared" si="23"/>
        <v>0</v>
      </c>
      <c r="O48" s="11"/>
      <c r="P48" s="7">
        <v>0.31</v>
      </c>
      <c r="Q48" s="2"/>
      <c r="R48" s="6">
        <f t="shared" si="24"/>
        <v>1.2239902080783354E-6</v>
      </c>
      <c r="S48" s="2"/>
      <c r="T48" s="7"/>
      <c r="U48" s="2"/>
      <c r="V48" s="6">
        <f t="shared" si="25"/>
        <v>0</v>
      </c>
      <c r="W48" s="2"/>
      <c r="X48" s="7">
        <f t="shared" si="26"/>
        <v>0.31</v>
      </c>
      <c r="Y48" s="2"/>
      <c r="Z48" s="6">
        <f t="shared" si="27"/>
        <v>0</v>
      </c>
    </row>
    <row r="49" spans="1:26" s="24" customFormat="1" hidden="1" outlineLevel="2" x14ac:dyDescent="0.25">
      <c r="A49" s="29"/>
      <c r="B49" s="11" t="str">
        <f>CONCATENATE("          ", "6307", " - ", "POSTAGE")</f>
        <v xml:space="preserve">          6307 - POSTAGE</v>
      </c>
      <c r="C49" s="11"/>
      <c r="D49" s="7"/>
      <c r="E49" s="2"/>
      <c r="F49" s="6">
        <f t="shared" si="20"/>
        <v>0</v>
      </c>
      <c r="G49" s="2"/>
      <c r="H49" s="7">
        <v>10</v>
      </c>
      <c r="I49" s="2"/>
      <c r="J49" s="6">
        <f t="shared" si="21"/>
        <v>2.754062241806665E-4</v>
      </c>
      <c r="K49" s="2"/>
      <c r="L49" s="7">
        <f t="shared" si="22"/>
        <v>-10</v>
      </c>
      <c r="M49" s="2"/>
      <c r="N49" s="6">
        <f t="shared" si="23"/>
        <v>-1</v>
      </c>
      <c r="O49" s="11"/>
      <c r="P49" s="7"/>
      <c r="Q49" s="2"/>
      <c r="R49" s="6">
        <f t="shared" si="24"/>
        <v>0</v>
      </c>
      <c r="S49" s="2"/>
      <c r="T49" s="7">
        <v>30</v>
      </c>
      <c r="U49" s="2"/>
      <c r="V49" s="6">
        <f t="shared" si="25"/>
        <v>1.1681651629785096E-4</v>
      </c>
      <c r="W49" s="2"/>
      <c r="X49" s="7">
        <f t="shared" si="26"/>
        <v>-30</v>
      </c>
      <c r="Y49" s="2"/>
      <c r="Z49" s="6">
        <f t="shared" si="27"/>
        <v>-1</v>
      </c>
    </row>
    <row r="50" spans="1:26" s="28" customFormat="1" outlineLevel="1" collapsed="1" x14ac:dyDescent="0.25">
      <c r="A50" s="27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SUM(OSRRefD22_6x_0)</f>
        <v>0</v>
      </c>
      <c r="E50" s="1"/>
      <c r="F50" s="5">
        <f t="shared" ref="F50:F59" si="28">IF(D$12=0,0,D50/D$12)</f>
        <v>0</v>
      </c>
      <c r="G50" s="1"/>
      <c r="H50" s="1">
        <f>SUM(OSRRefH22_6x_0)</f>
        <v>50</v>
      </c>
      <c r="I50" s="1"/>
      <c r="J50" s="5">
        <f t="shared" ref="J50:J59" si="29">IF(H$12=0,0,H50/H$12)</f>
        <v>1.3770311209033324E-3</v>
      </c>
      <c r="K50" s="1"/>
      <c r="L50" s="1">
        <f t="shared" ref="L50:L59" si="30">+D50-H50</f>
        <v>-50</v>
      </c>
      <c r="M50" s="1"/>
      <c r="N50" s="5">
        <f t="shared" ref="N50:N59" si="31">IF(H50=0,0,L50/H50)</f>
        <v>-1</v>
      </c>
      <c r="O50" s="14"/>
      <c r="P50" s="1">
        <f>SUM(OSRRefP22_6x_0)</f>
        <v>0</v>
      </c>
      <c r="Q50" s="1"/>
      <c r="R50" s="5">
        <f t="shared" ref="R50:R59" si="32">IF(P$12=0,0,P50/P$12)</f>
        <v>0</v>
      </c>
      <c r="S50" s="1"/>
      <c r="T50" s="1">
        <f>SUM(OSRRefT22_6x_0)</f>
        <v>150</v>
      </c>
      <c r="U50" s="1"/>
      <c r="V50" s="5">
        <f t="shared" ref="V50:V59" si="33">IF(T$12=0,0,T50/T$12)</f>
        <v>5.8408258148925484E-4</v>
      </c>
      <c r="W50" s="1"/>
      <c r="X50" s="1">
        <f t="shared" ref="X50:X59" si="34">+P50-T50</f>
        <v>-150</v>
      </c>
      <c r="Y50" s="1"/>
      <c r="Z50" s="5">
        <f t="shared" ref="Z50:Z59" si="35">IF(T50=0,0,X50/T50)</f>
        <v>-1</v>
      </c>
    </row>
    <row r="51" spans="1:26" s="24" customFormat="1" hidden="1" outlineLevel="2" x14ac:dyDescent="0.25">
      <c r="A51" s="29"/>
      <c r="B51" s="11" t="str">
        <f>CONCATENATE("          ", "6279", " - ", "GENERAL EXPENSE")</f>
        <v xml:space="preserve">          6279 - GENERAL EXPENSE</v>
      </c>
      <c r="C51" s="11"/>
      <c r="D51" s="7"/>
      <c r="E51" s="2"/>
      <c r="F51" s="6">
        <f t="shared" si="28"/>
        <v>0</v>
      </c>
      <c r="G51" s="2"/>
      <c r="H51" s="7">
        <v>50</v>
      </c>
      <c r="I51" s="2"/>
      <c r="J51" s="6">
        <f t="shared" si="29"/>
        <v>1.3770311209033324E-3</v>
      </c>
      <c r="K51" s="2"/>
      <c r="L51" s="7">
        <f t="shared" si="30"/>
        <v>-50</v>
      </c>
      <c r="M51" s="2"/>
      <c r="N51" s="6">
        <f t="shared" si="31"/>
        <v>-1</v>
      </c>
      <c r="O51" s="11"/>
      <c r="P51" s="7"/>
      <c r="Q51" s="2"/>
      <c r="R51" s="6">
        <f t="shared" si="32"/>
        <v>0</v>
      </c>
      <c r="S51" s="2"/>
      <c r="T51" s="7">
        <v>150</v>
      </c>
      <c r="U51" s="2"/>
      <c r="V51" s="6">
        <f t="shared" si="33"/>
        <v>5.8408258148925484E-4</v>
      </c>
      <c r="W51" s="2"/>
      <c r="X51" s="7">
        <f t="shared" si="34"/>
        <v>-150</v>
      </c>
      <c r="Y51" s="2"/>
      <c r="Z51" s="6">
        <f t="shared" si="35"/>
        <v>-1</v>
      </c>
    </row>
    <row r="52" spans="1:26" s="28" customFormat="1" outlineLevel="1" collapsed="1" x14ac:dyDescent="0.25">
      <c r="A52" s="27"/>
      <c r="B52" s="14" t="str">
        <f>CONCATENATE("     ","Insurance                                         ")</f>
        <v xml:space="preserve">     Insurance                                         </v>
      </c>
      <c r="C52" s="14"/>
      <c r="D52" s="1">
        <f>SUM(OSRRefD22_7x_0)</f>
        <v>39.43</v>
      </c>
      <c r="E52" s="1"/>
      <c r="F52" s="5">
        <f t="shared" si="28"/>
        <v>2.2637501435296818E-3</v>
      </c>
      <c r="G52" s="1"/>
      <c r="H52" s="1">
        <f>SUM(OSRRefH22_7x_0)</f>
        <v>40</v>
      </c>
      <c r="I52" s="1"/>
      <c r="J52" s="5">
        <f t="shared" si="29"/>
        <v>1.101624896722666E-3</v>
      </c>
      <c r="K52" s="1"/>
      <c r="L52" s="1">
        <f t="shared" si="30"/>
        <v>-0.57000000000000028</v>
      </c>
      <c r="M52" s="1"/>
      <c r="N52" s="5">
        <f t="shared" si="31"/>
        <v>-1.4250000000000007E-2</v>
      </c>
      <c r="O52" s="14"/>
      <c r="P52" s="1">
        <f>SUM(OSRRefP22_7x_0)</f>
        <v>118.29</v>
      </c>
      <c r="Q52" s="1"/>
      <c r="R52" s="5">
        <f t="shared" si="32"/>
        <v>4.6705097326963323E-4</v>
      </c>
      <c r="S52" s="1"/>
      <c r="T52" s="1">
        <f>SUM(OSRRefT22_7x_0)</f>
        <v>120</v>
      </c>
      <c r="U52" s="1"/>
      <c r="V52" s="5">
        <f t="shared" si="33"/>
        <v>4.6726606519140385E-4</v>
      </c>
      <c r="W52" s="1"/>
      <c r="X52" s="1">
        <f t="shared" si="34"/>
        <v>-1.7099999999999937</v>
      </c>
      <c r="Y52" s="1"/>
      <c r="Z52" s="5">
        <f t="shared" si="35"/>
        <v>-1.4249999999999948E-2</v>
      </c>
    </row>
    <row r="53" spans="1:26" s="24" customFormat="1" hidden="1" outlineLevel="2" x14ac:dyDescent="0.25">
      <c r="A53" s="29"/>
      <c r="B53" s="11" t="str">
        <f>CONCATENATE("          ", "6314", " - ", "LIABILITY INSURANCE")</f>
        <v xml:space="preserve">          6314 - LIABILITY INSURANCE</v>
      </c>
      <c r="C53" s="11"/>
      <c r="D53" s="7">
        <v>39.43</v>
      </c>
      <c r="E53" s="2"/>
      <c r="F53" s="6">
        <f t="shared" si="28"/>
        <v>2.2637501435296818E-3</v>
      </c>
      <c r="G53" s="2"/>
      <c r="H53" s="7">
        <v>40</v>
      </c>
      <c r="I53" s="2"/>
      <c r="J53" s="6">
        <f t="shared" si="29"/>
        <v>1.101624896722666E-3</v>
      </c>
      <c r="K53" s="2"/>
      <c r="L53" s="7">
        <f t="shared" si="30"/>
        <v>-0.57000000000000028</v>
      </c>
      <c r="M53" s="2"/>
      <c r="N53" s="6">
        <f t="shared" si="31"/>
        <v>-1.4250000000000007E-2</v>
      </c>
      <c r="O53" s="11"/>
      <c r="P53" s="7">
        <v>118.29</v>
      </c>
      <c r="Q53" s="2"/>
      <c r="R53" s="6">
        <f t="shared" si="32"/>
        <v>4.6705097326963323E-4</v>
      </c>
      <c r="S53" s="2"/>
      <c r="T53" s="7">
        <v>120</v>
      </c>
      <c r="U53" s="2"/>
      <c r="V53" s="6">
        <f t="shared" si="33"/>
        <v>4.6726606519140385E-4</v>
      </c>
      <c r="W53" s="2"/>
      <c r="X53" s="7">
        <f t="shared" si="34"/>
        <v>-1.7099999999999937</v>
      </c>
      <c r="Y53" s="2"/>
      <c r="Z53" s="6">
        <f t="shared" si="35"/>
        <v>-1.4249999999999948E-2</v>
      </c>
    </row>
    <row r="54" spans="1:26" s="28" customFormat="1" outlineLevel="1" collapsed="1" x14ac:dyDescent="0.25">
      <c r="A54" s="27"/>
      <c r="B54" s="14" t="str">
        <f>CONCATENATE("     ","Rent                                              ")</f>
        <v xml:space="preserve">     Rent                                              </v>
      </c>
      <c r="C54" s="14"/>
      <c r="D54" s="1">
        <f>SUM(OSRRefD22_8x_0)</f>
        <v>800</v>
      </c>
      <c r="E54" s="1"/>
      <c r="F54" s="5">
        <f t="shared" si="28"/>
        <v>4.5929498220231943E-2</v>
      </c>
      <c r="G54" s="1"/>
      <c r="H54" s="1">
        <f>SUM(OSRRefH22_8x_0)</f>
        <v>800</v>
      </c>
      <c r="I54" s="1"/>
      <c r="J54" s="5">
        <f t="shared" si="29"/>
        <v>2.2032497934453318E-2</v>
      </c>
      <c r="K54" s="1"/>
      <c r="L54" s="1">
        <f t="shared" si="30"/>
        <v>0</v>
      </c>
      <c r="M54" s="1"/>
      <c r="N54" s="5">
        <f t="shared" si="31"/>
        <v>0</v>
      </c>
      <c r="O54" s="14"/>
      <c r="P54" s="1">
        <f>SUM(OSRRefP22_8x_0)</f>
        <v>2400</v>
      </c>
      <c r="Q54" s="1"/>
      <c r="R54" s="5">
        <f t="shared" si="32"/>
        <v>9.4760532238322738E-3</v>
      </c>
      <c r="S54" s="1"/>
      <c r="T54" s="1">
        <f>SUM(OSRRefT22_8x_0)</f>
        <v>2400</v>
      </c>
      <c r="U54" s="1"/>
      <c r="V54" s="5">
        <f t="shared" si="33"/>
        <v>9.3453213038280775E-3</v>
      </c>
      <c r="W54" s="1"/>
      <c r="X54" s="1">
        <f t="shared" si="34"/>
        <v>0</v>
      </c>
      <c r="Y54" s="1"/>
      <c r="Z54" s="5">
        <f t="shared" si="35"/>
        <v>0</v>
      </c>
    </row>
    <row r="55" spans="1:26" s="24" customFormat="1" hidden="1" outlineLevel="2" x14ac:dyDescent="0.25">
      <c r="A55" s="29"/>
      <c r="B55" s="11" t="str">
        <f>CONCATENATE("          ", "6273", " - ", "RENT")</f>
        <v xml:space="preserve">          6273 - RENT</v>
      </c>
      <c r="C55" s="11"/>
      <c r="D55" s="7">
        <v>800</v>
      </c>
      <c r="E55" s="2"/>
      <c r="F55" s="6">
        <f t="shared" si="28"/>
        <v>4.5929498220231943E-2</v>
      </c>
      <c r="G55" s="2"/>
      <c r="H55" s="7">
        <v>800</v>
      </c>
      <c r="I55" s="2"/>
      <c r="J55" s="6">
        <f t="shared" si="29"/>
        <v>2.2032497934453318E-2</v>
      </c>
      <c r="K55" s="2"/>
      <c r="L55" s="7">
        <f t="shared" si="30"/>
        <v>0</v>
      </c>
      <c r="M55" s="2"/>
      <c r="N55" s="6">
        <f t="shared" si="31"/>
        <v>0</v>
      </c>
      <c r="O55" s="11"/>
      <c r="P55" s="7">
        <v>2400</v>
      </c>
      <c r="Q55" s="2"/>
      <c r="R55" s="6">
        <f t="shared" si="32"/>
        <v>9.4760532238322738E-3</v>
      </c>
      <c r="S55" s="2"/>
      <c r="T55" s="7">
        <v>2400</v>
      </c>
      <c r="U55" s="2"/>
      <c r="V55" s="6">
        <f t="shared" si="33"/>
        <v>9.3453213038280775E-3</v>
      </c>
      <c r="W55" s="2"/>
      <c r="X55" s="7">
        <f t="shared" si="34"/>
        <v>0</v>
      </c>
      <c r="Y55" s="2"/>
      <c r="Z55" s="6">
        <f t="shared" si="35"/>
        <v>0</v>
      </c>
    </row>
    <row r="56" spans="1:26" s="28" customFormat="1" outlineLevel="1" collapsed="1" x14ac:dyDescent="0.25">
      <c r="A56" s="27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SUM(OSRRefD22_9x_0)</f>
        <v>0</v>
      </c>
      <c r="E56" s="1"/>
      <c r="F56" s="5">
        <f t="shared" si="28"/>
        <v>0</v>
      </c>
      <c r="G56" s="1"/>
      <c r="H56" s="1">
        <f>SUM(OSRRefH22_9x_0)</f>
        <v>3200</v>
      </c>
      <c r="I56" s="1"/>
      <c r="J56" s="5">
        <f t="shared" si="29"/>
        <v>8.8129991737813274E-2</v>
      </c>
      <c r="K56" s="1"/>
      <c r="L56" s="1">
        <f t="shared" si="30"/>
        <v>-3200</v>
      </c>
      <c r="M56" s="1"/>
      <c r="N56" s="5">
        <f t="shared" si="31"/>
        <v>-1</v>
      </c>
      <c r="O56" s="14"/>
      <c r="P56" s="1">
        <f>SUM(OSRRefP22_9x_0)</f>
        <v>122000.62</v>
      </c>
      <c r="Q56" s="1"/>
      <c r="R56" s="5">
        <f t="shared" si="32"/>
        <v>0.48170182019189006</v>
      </c>
      <c r="S56" s="1"/>
      <c r="T56" s="1">
        <f>SUM(OSRRefT22_9x_0)</f>
        <v>134600</v>
      </c>
      <c r="U56" s="1"/>
      <c r="V56" s="5">
        <f t="shared" si="33"/>
        <v>0.52411676978969135</v>
      </c>
      <c r="W56" s="1"/>
      <c r="X56" s="1">
        <f t="shared" si="34"/>
        <v>-12599.380000000005</v>
      </c>
      <c r="Y56" s="1"/>
      <c r="Z56" s="5">
        <f t="shared" si="35"/>
        <v>-9.36060921248143E-2</v>
      </c>
    </row>
    <row r="57" spans="1:26" s="24" customFormat="1" hidden="1" outlineLevel="2" x14ac:dyDescent="0.25">
      <c r="A57" s="29"/>
      <c r="B57" s="11" t="str">
        <f>CONCATENATE("          ", "6371", " - ", "COMPUTER SOFTWARE MAINTENANCE")</f>
        <v xml:space="preserve">          6371 - COMPUTER SOFTWARE MAINTENANCE</v>
      </c>
      <c r="C57" s="11"/>
      <c r="D57" s="7"/>
      <c r="E57" s="2"/>
      <c r="F57" s="6">
        <f t="shared" si="28"/>
        <v>0</v>
      </c>
      <c r="G57" s="2"/>
      <c r="H57" s="7"/>
      <c r="I57" s="2"/>
      <c r="J57" s="6">
        <f t="shared" si="29"/>
        <v>0</v>
      </c>
      <c r="K57" s="2"/>
      <c r="L57" s="7">
        <f t="shared" si="30"/>
        <v>0</v>
      </c>
      <c r="M57" s="2"/>
      <c r="N57" s="6">
        <f t="shared" si="31"/>
        <v>0</v>
      </c>
      <c r="O57" s="11"/>
      <c r="P57" s="7"/>
      <c r="Q57" s="2"/>
      <c r="R57" s="6">
        <f t="shared" si="32"/>
        <v>0</v>
      </c>
      <c r="S57" s="2"/>
      <c r="T57" s="7">
        <v>125000</v>
      </c>
      <c r="U57" s="2"/>
      <c r="V57" s="6">
        <f t="shared" si="33"/>
        <v>0.48673548457437904</v>
      </c>
      <c r="W57" s="2"/>
      <c r="X57" s="7">
        <f t="shared" si="34"/>
        <v>-125000</v>
      </c>
      <c r="Y57" s="2"/>
      <c r="Z57" s="6">
        <f t="shared" si="35"/>
        <v>-1</v>
      </c>
    </row>
    <row r="58" spans="1:26" s="24" customFormat="1" hidden="1" outlineLevel="2" x14ac:dyDescent="0.25">
      <c r="A58" s="29"/>
      <c r="B58" s="11" t="str">
        <f>CONCATENATE("          ", "6372", " - ", "COMPUTER HARDWARE MAINTENANCE")</f>
        <v xml:space="preserve">          6372 - COMPUTER HARDWARE MAINTENANCE</v>
      </c>
      <c r="C58" s="11"/>
      <c r="D58" s="7"/>
      <c r="E58" s="2"/>
      <c r="F58" s="6">
        <f t="shared" si="28"/>
        <v>0</v>
      </c>
      <c r="G58" s="2"/>
      <c r="H58" s="7">
        <v>3200</v>
      </c>
      <c r="I58" s="2"/>
      <c r="J58" s="6">
        <f t="shared" si="29"/>
        <v>8.8129991737813274E-2</v>
      </c>
      <c r="K58" s="2"/>
      <c r="L58" s="7">
        <f t="shared" si="30"/>
        <v>-3200</v>
      </c>
      <c r="M58" s="2"/>
      <c r="N58" s="6">
        <f t="shared" si="31"/>
        <v>-1</v>
      </c>
      <c r="O58" s="11"/>
      <c r="P58" s="7"/>
      <c r="Q58" s="2"/>
      <c r="R58" s="6">
        <f t="shared" si="32"/>
        <v>0</v>
      </c>
      <c r="S58" s="2"/>
      <c r="T58" s="7">
        <v>9600</v>
      </c>
      <c r="U58" s="2"/>
      <c r="V58" s="6">
        <f t="shared" si="33"/>
        <v>3.738128521531231E-2</v>
      </c>
      <c r="W58" s="2"/>
      <c r="X58" s="7">
        <f t="shared" si="34"/>
        <v>-9600</v>
      </c>
      <c r="Y58" s="2"/>
      <c r="Z58" s="6">
        <f t="shared" si="35"/>
        <v>-1</v>
      </c>
    </row>
    <row r="59" spans="1:26" s="24" customFormat="1" hidden="1" outlineLevel="2" x14ac:dyDescent="0.25">
      <c r="A59" s="29"/>
      <c r="B59" s="11" t="str">
        <f>CONCATENATE("          ", "6373", " - ", "MAINTENANCE CONTRACTS")</f>
        <v xml:space="preserve">          6373 - MAINTENANCE CONTRACTS</v>
      </c>
      <c r="C59" s="11"/>
      <c r="D59" s="7"/>
      <c r="E59" s="2"/>
      <c r="F59" s="6">
        <f t="shared" si="28"/>
        <v>0</v>
      </c>
      <c r="G59" s="2"/>
      <c r="H59" s="7"/>
      <c r="I59" s="2"/>
      <c r="J59" s="6">
        <f t="shared" si="29"/>
        <v>0</v>
      </c>
      <c r="K59" s="2"/>
      <c r="L59" s="7">
        <f t="shared" si="30"/>
        <v>0</v>
      </c>
      <c r="M59" s="2"/>
      <c r="N59" s="6">
        <f t="shared" si="31"/>
        <v>0</v>
      </c>
      <c r="O59" s="11"/>
      <c r="P59" s="7">
        <v>122000.62</v>
      </c>
      <c r="Q59" s="2"/>
      <c r="R59" s="6">
        <f t="shared" si="32"/>
        <v>0.48170182019189006</v>
      </c>
      <c r="S59" s="2"/>
      <c r="T59" s="7"/>
      <c r="U59" s="2"/>
      <c r="V59" s="6">
        <f t="shared" si="33"/>
        <v>0</v>
      </c>
      <c r="W59" s="2"/>
      <c r="X59" s="7">
        <f t="shared" si="34"/>
        <v>122000.62</v>
      </c>
      <c r="Y59" s="2"/>
      <c r="Z59" s="6">
        <f t="shared" si="35"/>
        <v>0</v>
      </c>
    </row>
    <row r="60" spans="1:26" s="28" customFormat="1" outlineLevel="1" collapsed="1" x14ac:dyDescent="0.25">
      <c r="A60" s="27"/>
      <c r="B60" s="14" t="str">
        <f>CONCATENATE("     ","Subscriptions &amp; Dues                              ")</f>
        <v xml:space="preserve">     Subscriptions &amp; Dues                              </v>
      </c>
      <c r="C60" s="14"/>
      <c r="D60" s="1">
        <f>SUM(OSRRefD22_10x_0)</f>
        <v>0</v>
      </c>
      <c r="E60" s="1"/>
      <c r="F60" s="5">
        <f t="shared" ref="F60:F64" si="36">IF(D$12=0,0,D60/D$12)</f>
        <v>0</v>
      </c>
      <c r="G60" s="1"/>
      <c r="H60" s="1">
        <f>SUM(OSRRefH22_10x_0)</f>
        <v>85</v>
      </c>
      <c r="I60" s="1"/>
      <c r="J60" s="5">
        <f t="shared" ref="J60:J64" si="37">IF(H$12=0,0,H60/H$12)</f>
        <v>2.340952905535665E-3</v>
      </c>
      <c r="K60" s="1"/>
      <c r="L60" s="1">
        <f t="shared" ref="L60:L64" si="38">+D60-H60</f>
        <v>-85</v>
      </c>
      <c r="M60" s="1"/>
      <c r="N60" s="5">
        <f t="shared" ref="N60:N64" si="39">IF(H60=0,0,L60/H60)</f>
        <v>-1</v>
      </c>
      <c r="O60" s="14"/>
      <c r="P60" s="1">
        <f>SUM(OSRRefP22_10x_0)</f>
        <v>0</v>
      </c>
      <c r="Q60" s="1"/>
      <c r="R60" s="5">
        <f t="shared" ref="R60:R64" si="40">IF(P$12=0,0,P60/P$12)</f>
        <v>0</v>
      </c>
      <c r="S60" s="1"/>
      <c r="T60" s="1">
        <f>SUM(OSRRefT22_10x_0)</f>
        <v>255</v>
      </c>
      <c r="U60" s="1"/>
      <c r="V60" s="5">
        <f t="shared" ref="V60:V64" si="41">IF(T$12=0,0,T60/T$12)</f>
        <v>9.9294038853173314E-4</v>
      </c>
      <c r="W60" s="1"/>
      <c r="X60" s="1">
        <f t="shared" ref="X60:X64" si="42">+P60-T60</f>
        <v>-255</v>
      </c>
      <c r="Y60" s="1"/>
      <c r="Z60" s="5">
        <f t="shared" ref="Z60:Z64" si="43">IF(T60=0,0,X60/T60)</f>
        <v>-1</v>
      </c>
    </row>
    <row r="61" spans="1:26" s="24" customFormat="1" hidden="1" outlineLevel="2" x14ac:dyDescent="0.25">
      <c r="A61" s="29"/>
      <c r="B61" s="11" t="str">
        <f>CONCATENATE("          ", "6258", " - ", "MEMBERSHIP DUES")</f>
        <v xml:space="preserve">          6258 - MEMBERSHIP DUES</v>
      </c>
      <c r="C61" s="11"/>
      <c r="D61" s="7"/>
      <c r="E61" s="2"/>
      <c r="F61" s="6">
        <f t="shared" si="36"/>
        <v>0</v>
      </c>
      <c r="G61" s="2"/>
      <c r="H61" s="7">
        <v>85</v>
      </c>
      <c r="I61" s="2"/>
      <c r="J61" s="6">
        <f t="shared" si="37"/>
        <v>2.340952905535665E-3</v>
      </c>
      <c r="K61" s="2"/>
      <c r="L61" s="7">
        <f t="shared" si="38"/>
        <v>-85</v>
      </c>
      <c r="M61" s="2"/>
      <c r="N61" s="6">
        <f t="shared" si="39"/>
        <v>-1</v>
      </c>
      <c r="O61" s="11"/>
      <c r="P61" s="7"/>
      <c r="Q61" s="2"/>
      <c r="R61" s="6">
        <f t="shared" si="40"/>
        <v>0</v>
      </c>
      <c r="S61" s="2"/>
      <c r="T61" s="7">
        <v>255</v>
      </c>
      <c r="U61" s="2"/>
      <c r="V61" s="6">
        <f t="shared" si="41"/>
        <v>9.9294038853173314E-4</v>
      </c>
      <c r="W61" s="2"/>
      <c r="X61" s="7">
        <f t="shared" si="42"/>
        <v>-255</v>
      </c>
      <c r="Y61" s="2"/>
      <c r="Z61" s="6">
        <f t="shared" si="43"/>
        <v>-1</v>
      </c>
    </row>
    <row r="62" spans="1:26" s="28" customFormat="1" outlineLevel="1" collapsed="1" x14ac:dyDescent="0.25">
      <c r="A62" s="27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SUM(OSRRefD22_11x_0)</f>
        <v>18.71</v>
      </c>
      <c r="E62" s="1"/>
      <c r="F62" s="5">
        <f t="shared" si="36"/>
        <v>1.0741761396256746E-3</v>
      </c>
      <c r="G62" s="1"/>
      <c r="H62" s="1">
        <f>SUM(OSRRefH22_11x_0)</f>
        <v>5800</v>
      </c>
      <c r="I62" s="1"/>
      <c r="J62" s="5">
        <f t="shared" si="37"/>
        <v>0.15973561002478656</v>
      </c>
      <c r="K62" s="1"/>
      <c r="L62" s="1">
        <f t="shared" si="38"/>
        <v>-5781.29</v>
      </c>
      <c r="M62" s="1"/>
      <c r="N62" s="5">
        <f t="shared" si="39"/>
        <v>-0.99677413793103453</v>
      </c>
      <c r="O62" s="14"/>
      <c r="P62" s="1">
        <f>SUM(OSRRefP22_11x_0)</f>
        <v>1976.66</v>
      </c>
      <c r="Q62" s="1"/>
      <c r="R62" s="5">
        <f t="shared" si="40"/>
        <v>7.8045564022584599E-3</v>
      </c>
      <c r="S62" s="1"/>
      <c r="T62" s="1">
        <f>SUM(OSRRefT22_11x_0)</f>
        <v>17400</v>
      </c>
      <c r="U62" s="1"/>
      <c r="V62" s="5">
        <f t="shared" si="41"/>
        <v>6.7753579452753565E-2</v>
      </c>
      <c r="W62" s="1"/>
      <c r="X62" s="1">
        <f t="shared" si="42"/>
        <v>-15423.34</v>
      </c>
      <c r="Y62" s="1"/>
      <c r="Z62" s="5">
        <f t="shared" si="43"/>
        <v>-0.88639885057471268</v>
      </c>
    </row>
    <row r="63" spans="1:26" s="24" customFormat="1" hidden="1" outlineLevel="2" x14ac:dyDescent="0.25">
      <c r="A63" s="29"/>
      <c r="B63" s="11" t="str">
        <f>CONCATENATE("          ", "6234", " - ", "EXPENDABLE SUPPLIES &amp; EQUIPMEN")</f>
        <v xml:space="preserve">          6234 - EXPENDABLE SUPPLIES &amp; EQUIPMEN</v>
      </c>
      <c r="C63" s="11"/>
      <c r="D63" s="7"/>
      <c r="E63" s="2"/>
      <c r="F63" s="6">
        <f t="shared" si="36"/>
        <v>0</v>
      </c>
      <c r="G63" s="2"/>
      <c r="H63" s="7">
        <v>5800</v>
      </c>
      <c r="I63" s="2"/>
      <c r="J63" s="6">
        <f t="shared" si="37"/>
        <v>0.15973561002478656</v>
      </c>
      <c r="K63" s="2"/>
      <c r="L63" s="7">
        <f t="shared" si="38"/>
        <v>-5800</v>
      </c>
      <c r="M63" s="2"/>
      <c r="N63" s="6">
        <f t="shared" si="39"/>
        <v>-1</v>
      </c>
      <c r="O63" s="11"/>
      <c r="P63" s="7"/>
      <c r="Q63" s="2"/>
      <c r="R63" s="6">
        <f t="shared" si="40"/>
        <v>0</v>
      </c>
      <c r="S63" s="2"/>
      <c r="T63" s="7">
        <v>17400</v>
      </c>
      <c r="U63" s="2"/>
      <c r="V63" s="6">
        <f t="shared" si="41"/>
        <v>6.7753579452753565E-2</v>
      </c>
      <c r="W63" s="2"/>
      <c r="X63" s="7">
        <f t="shared" si="42"/>
        <v>-17400</v>
      </c>
      <c r="Y63" s="2"/>
      <c r="Z63" s="6">
        <f t="shared" si="43"/>
        <v>-1</v>
      </c>
    </row>
    <row r="64" spans="1:26" s="24" customFormat="1" hidden="1" outlineLevel="2" x14ac:dyDescent="0.25">
      <c r="A64" s="29"/>
      <c r="B64" s="11" t="str">
        <f>CONCATENATE("          ", "6241", " - ", "OFFICE EXPENSE")</f>
        <v xml:space="preserve">          6241 - OFFICE EXPENSE</v>
      </c>
      <c r="C64" s="11"/>
      <c r="D64" s="7">
        <v>18.71</v>
      </c>
      <c r="E64" s="2"/>
      <c r="F64" s="6">
        <f t="shared" si="36"/>
        <v>1.0741761396256746E-3</v>
      </c>
      <c r="G64" s="2"/>
      <c r="H64" s="7"/>
      <c r="I64" s="2"/>
      <c r="J64" s="6">
        <f t="shared" si="37"/>
        <v>0</v>
      </c>
      <c r="K64" s="2"/>
      <c r="L64" s="7">
        <f t="shared" si="38"/>
        <v>18.71</v>
      </c>
      <c r="M64" s="2"/>
      <c r="N64" s="6">
        <f t="shared" si="39"/>
        <v>0</v>
      </c>
      <c r="O64" s="11"/>
      <c r="P64" s="7">
        <v>1976.66</v>
      </c>
      <c r="Q64" s="2"/>
      <c r="R64" s="6">
        <f t="shared" si="40"/>
        <v>7.8045564022584599E-3</v>
      </c>
      <c r="S64" s="2"/>
      <c r="T64" s="7"/>
      <c r="U64" s="2"/>
      <c r="V64" s="6">
        <f t="shared" si="41"/>
        <v>0</v>
      </c>
      <c r="W64" s="2"/>
      <c r="X64" s="7">
        <f t="shared" si="42"/>
        <v>1976.66</v>
      </c>
      <c r="Y64" s="2"/>
      <c r="Z64" s="6">
        <f t="shared" si="43"/>
        <v>0</v>
      </c>
    </row>
    <row r="65" spans="1:26" s="28" customFormat="1" outlineLevel="1" collapsed="1" x14ac:dyDescent="0.25">
      <c r="A65" s="27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SUM(OSRRefD22_12x_0)</f>
        <v>0</v>
      </c>
      <c r="E65" s="1"/>
      <c r="F65" s="5">
        <f t="shared" ref="F65:F66" si="44">IF(D$12=0,0,D65/D$12)</f>
        <v>0</v>
      </c>
      <c r="G65" s="1"/>
      <c r="H65" s="1">
        <f>SUM(OSRRefH22_12x_0)</f>
        <v>350</v>
      </c>
      <c r="I65" s="1"/>
      <c r="J65" s="5">
        <f t="shared" ref="J65:J66" si="45">IF(H$12=0,0,H65/H$12)</f>
        <v>9.6392178463233277E-3</v>
      </c>
      <c r="K65" s="1"/>
      <c r="L65" s="1">
        <f t="shared" ref="L65:L66" si="46">+D65-H65</f>
        <v>-350</v>
      </c>
      <c r="M65" s="1"/>
      <c r="N65" s="5">
        <f t="shared" ref="N65:N66" si="47">IF(H65=0,0,L65/H65)</f>
        <v>-1</v>
      </c>
      <c r="O65" s="14"/>
      <c r="P65" s="1">
        <f>SUM(OSRRefP22_12x_0)</f>
        <v>-163.30000000000001</v>
      </c>
      <c r="Q65" s="1"/>
      <c r="R65" s="5">
        <f t="shared" ref="R65:R66" si="48">IF(P$12=0,0,P65/P$12)</f>
        <v>-6.4476645477158764E-4</v>
      </c>
      <c r="S65" s="1"/>
      <c r="T65" s="1">
        <f>SUM(OSRRefT22_12x_0)</f>
        <v>1050</v>
      </c>
      <c r="U65" s="1"/>
      <c r="V65" s="5">
        <f t="shared" ref="V65:V66" si="49">IF(T$12=0,0,T65/T$12)</f>
        <v>4.0885780704247839E-3</v>
      </c>
      <c r="W65" s="1"/>
      <c r="X65" s="1">
        <f t="shared" ref="X65:X66" si="50">+P65-T65</f>
        <v>-1213.3</v>
      </c>
      <c r="Y65" s="1"/>
      <c r="Z65" s="5">
        <f t="shared" ref="Z65:Z66" si="51">IF(T65=0,0,X65/T65)</f>
        <v>-1.1555238095238094</v>
      </c>
    </row>
    <row r="66" spans="1:26" s="24" customFormat="1" hidden="1" outlineLevel="2" x14ac:dyDescent="0.25">
      <c r="A66" s="29"/>
      <c r="B66" s="11" t="str">
        <f>CONCATENATE("          ", "6309", " - ", "TELEPHONE")</f>
        <v xml:space="preserve">          6309 - TELEPHONE</v>
      </c>
      <c r="C66" s="11"/>
      <c r="D66" s="7">
        <v>0</v>
      </c>
      <c r="E66" s="2"/>
      <c r="F66" s="6">
        <f t="shared" si="44"/>
        <v>0</v>
      </c>
      <c r="G66" s="2"/>
      <c r="H66" s="7">
        <v>350</v>
      </c>
      <c r="I66" s="2"/>
      <c r="J66" s="6">
        <f t="shared" si="45"/>
        <v>9.6392178463233277E-3</v>
      </c>
      <c r="K66" s="2"/>
      <c r="L66" s="7">
        <f t="shared" si="46"/>
        <v>-350</v>
      </c>
      <c r="M66" s="2"/>
      <c r="N66" s="6">
        <f t="shared" si="47"/>
        <v>-1</v>
      </c>
      <c r="O66" s="11"/>
      <c r="P66" s="7">
        <v>-163.30000000000001</v>
      </c>
      <c r="Q66" s="2"/>
      <c r="R66" s="6">
        <f t="shared" si="48"/>
        <v>-6.4476645477158764E-4</v>
      </c>
      <c r="S66" s="2"/>
      <c r="T66" s="7">
        <v>1050</v>
      </c>
      <c r="U66" s="2"/>
      <c r="V66" s="6">
        <f t="shared" si="49"/>
        <v>4.0885780704247839E-3</v>
      </c>
      <c r="W66" s="2"/>
      <c r="X66" s="7">
        <f t="shared" si="50"/>
        <v>-1213.3</v>
      </c>
      <c r="Y66" s="2"/>
      <c r="Z66" s="6">
        <f t="shared" si="51"/>
        <v>-1.1555238095238094</v>
      </c>
    </row>
    <row r="67" spans="1:26" s="58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25">
      <c r="A68" s="10"/>
      <c r="B68" s="26" t="s">
        <v>293</v>
      </c>
      <c r="C68" s="10"/>
      <c r="D68" s="4">
        <f>SUM(OSRRefD25x_0)</f>
        <v>1163.73</v>
      </c>
      <c r="E68" s="4"/>
      <c r="F68" s="12">
        <f t="shared" ref="F68:F69" si="52">IF(D$12=0,0,D68/D$12)</f>
        <v>6.6811918704788156E-2</v>
      </c>
      <c r="G68" s="4"/>
      <c r="H68" s="4">
        <f>SUM(OSRRefH25x_0)</f>
        <v>2400</v>
      </c>
      <c r="I68" s="4"/>
      <c r="J68" s="12">
        <f t="shared" ref="J68:J69" si="53">IF(H$12=0,0,H68/H$12)</f>
        <v>6.6097493803359955E-2</v>
      </c>
      <c r="K68" s="4"/>
      <c r="L68" s="4">
        <f t="shared" ref="L68:L69" si="54">+D68-H68</f>
        <v>-1236.27</v>
      </c>
      <c r="M68" s="4"/>
      <c r="N68" s="12">
        <f t="shared" ref="N68:N69" si="55">IF(H68=0,0,L68/H68)</f>
        <v>-0.51511249999999997</v>
      </c>
      <c r="O68" s="10"/>
      <c r="P68" s="4">
        <f>SUM(OSRRefP25x_0)</f>
        <v>2728.57</v>
      </c>
      <c r="Q68" s="4"/>
      <c r="R68" s="12">
        <f t="shared" ref="R68:R69" si="56">IF(P$12=0,0,P68/P$12)</f>
        <v>1.0773364393730013E-2</v>
      </c>
      <c r="S68" s="4"/>
      <c r="T68" s="4">
        <f>SUM(OSRRefT25x_0)</f>
        <v>7200</v>
      </c>
      <c r="U68" s="4"/>
      <c r="V68" s="12">
        <f t="shared" ref="V68:V69" si="57">IF(T$12=0,0,T68/T$12)</f>
        <v>2.8035963911484232E-2</v>
      </c>
      <c r="W68" s="4"/>
      <c r="X68" s="4">
        <f t="shared" ref="X68:X69" si="58">+P68-T68</f>
        <v>-4471.43</v>
      </c>
      <c r="Y68" s="4"/>
      <c r="Z68" s="12">
        <f t="shared" ref="Z68:Z69" si="59">IF(T68=0,0,X68/T68)</f>
        <v>-0.62103194444444454</v>
      </c>
    </row>
    <row r="69" spans="1:26" s="24" customFormat="1" hidden="1" outlineLevel="1" x14ac:dyDescent="0.25">
      <c r="A69" s="44"/>
      <c r="B69" s="11" t="str">
        <f>CONCATENATE("          ", "9150", " - ", "MISC. INCOME")</f>
        <v xml:space="preserve">          9150 - MISC. INCOME</v>
      </c>
      <c r="C69" s="11"/>
      <c r="D69" s="2">
        <f>--1163.73</f>
        <v>1163.73</v>
      </c>
      <c r="E69" s="2"/>
      <c r="F69" s="19">
        <f t="shared" si="52"/>
        <v>6.6811918704788156E-2</v>
      </c>
      <c r="G69" s="2"/>
      <c r="H69" s="2">
        <v>2400</v>
      </c>
      <c r="I69" s="2"/>
      <c r="J69" s="19">
        <f t="shared" si="53"/>
        <v>6.6097493803359955E-2</v>
      </c>
      <c r="K69" s="2"/>
      <c r="L69" s="2">
        <f t="shared" si="54"/>
        <v>-1236.27</v>
      </c>
      <c r="M69" s="2"/>
      <c r="N69" s="19">
        <f t="shared" si="55"/>
        <v>-0.51511249999999997</v>
      </c>
      <c r="O69" s="11"/>
      <c r="P69" s="2">
        <f>--2728.57</f>
        <v>2728.57</v>
      </c>
      <c r="Q69" s="2"/>
      <c r="R69" s="19">
        <f t="shared" si="56"/>
        <v>1.0773364393730013E-2</v>
      </c>
      <c r="S69" s="2"/>
      <c r="T69" s="2">
        <v>7200</v>
      </c>
      <c r="U69" s="2"/>
      <c r="V69" s="19">
        <f t="shared" si="57"/>
        <v>2.8035963911484232E-2</v>
      </c>
      <c r="W69" s="2"/>
      <c r="X69" s="2">
        <f t="shared" si="58"/>
        <v>-4471.43</v>
      </c>
      <c r="Y69" s="2"/>
      <c r="Z69" s="19">
        <f t="shared" si="59"/>
        <v>-0.62103194444444454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5" t="s">
        <v>277</v>
      </c>
      <c r="C71" s="25"/>
      <c r="D71" s="21">
        <f>+D17-D19+D68</f>
        <v>-0.15999999999939973</v>
      </c>
      <c r="E71" s="13"/>
      <c r="F71" s="20">
        <f>IF(D$12=0,0,D71/D$12)</f>
        <v>-9.1858996440119266E-6</v>
      </c>
      <c r="G71" s="13"/>
      <c r="H71" s="21">
        <f>+H17-H19+H68</f>
        <v>3710.9384708223079</v>
      </c>
      <c r="I71" s="13"/>
      <c r="J71" s="20">
        <f>IF(H$12=0,0,H71/H$12)</f>
        <v>0.10220155524159481</v>
      </c>
      <c r="K71" s="16"/>
      <c r="L71" s="21">
        <f>+D71-H71</f>
        <v>-3711.0984708223073</v>
      </c>
      <c r="M71" s="16"/>
      <c r="N71" s="20">
        <f>IF(H71=0,0,L71/H71)</f>
        <v>-1.0000431157781939</v>
      </c>
      <c r="O71" s="26"/>
      <c r="P71" s="21">
        <f>+P17-P19+P68</f>
        <v>67291.78</v>
      </c>
      <c r="Q71" s="13"/>
      <c r="R71" s="20">
        <f>IF(P$12=0,0,P71/P$12)</f>
        <v>0.26569187033600505</v>
      </c>
      <c r="S71" s="13"/>
      <c r="T71" s="21">
        <f>+T17-T19+T68</f>
        <v>26246.942405172507</v>
      </c>
      <c r="U71" s="13"/>
      <c r="V71" s="20">
        <f>IF(T$12=0,0,T71/T$12)</f>
        <v>0.10220254584141966</v>
      </c>
      <c r="W71" s="16"/>
      <c r="X71" s="21">
        <f>+P71-T71</f>
        <v>41044.837594827492</v>
      </c>
      <c r="Y71" s="16"/>
      <c r="Z71" s="20">
        <f>IF(T71=0,0,X71/T71)</f>
        <v>1.5637950112901056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2"/>
      <c r="B73" s="10" t="s">
        <v>128</v>
      </c>
      <c r="C73" s="10"/>
      <c r="D73" s="4">
        <v>-3895.43</v>
      </c>
      <c r="E73" s="4"/>
      <c r="F73" s="12">
        <f>IF(D$12=0,0,D73/D$12)</f>
        <v>-0.22364393156504764</v>
      </c>
      <c r="G73" s="4"/>
      <c r="H73" s="4">
        <v>3191</v>
      </c>
      <c r="I73" s="4"/>
      <c r="J73" s="12">
        <f>IF(H$12=0,0,H73/H$12)</f>
        <v>8.7882126136050676E-2</v>
      </c>
      <c r="K73" s="4"/>
      <c r="L73" s="4">
        <f>+D73-H73</f>
        <v>-7086.43</v>
      </c>
      <c r="M73" s="4"/>
      <c r="N73" s="12">
        <f>IF(H73=0,0,L73/H73)</f>
        <v>-2.2207552491382012</v>
      </c>
      <c r="O73" s="10"/>
      <c r="P73" s="4">
        <v>31348.65</v>
      </c>
      <c r="Q73" s="4"/>
      <c r="R73" s="12">
        <f>IF(P$12=0,0,P73/P$12)</f>
        <v>0.12377561495637068</v>
      </c>
      <c r="S73" s="4"/>
      <c r="T73" s="4">
        <v>27886</v>
      </c>
      <c r="U73" s="4"/>
      <c r="V73" s="12">
        <f>IF(T$12=0,0,T73/T$12)</f>
        <v>0.10858484578272906</v>
      </c>
      <c r="W73" s="4"/>
      <c r="X73" s="4">
        <f>+P73-T73</f>
        <v>3462.6500000000015</v>
      </c>
      <c r="Y73" s="4"/>
      <c r="Z73" s="12">
        <f>IF(T73=0,0,X73/T73)</f>
        <v>0.12417162733988386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5" t="s">
        <v>126</v>
      </c>
      <c r="C75" s="25"/>
      <c r="D75" s="33">
        <f>+D71-D73</f>
        <v>3895.2700000000004</v>
      </c>
      <c r="E75" s="13"/>
      <c r="F75" s="31">
        <f>IF(D$12=0,0,D75/D$12)</f>
        <v>0.22363474566540362</v>
      </c>
      <c r="G75" s="13"/>
      <c r="H75" s="33">
        <f>+H71-H73</f>
        <v>519.93847082230786</v>
      </c>
      <c r="I75" s="13"/>
      <c r="J75" s="31">
        <f>IF(H$12=0,0,H75/H$12)</f>
        <v>1.4319429105544144E-2</v>
      </c>
      <c r="K75" s="16"/>
      <c r="L75" s="33">
        <f>D75-H75</f>
        <v>3375.3315291776926</v>
      </c>
      <c r="M75" s="16"/>
      <c r="N75" s="31">
        <f>IF(H75=0,0,L75/H75)</f>
        <v>6.4917903148029081</v>
      </c>
      <c r="O75" s="26"/>
      <c r="P75" s="33">
        <f>+P71-P73</f>
        <v>35943.129999999997</v>
      </c>
      <c r="Q75" s="13"/>
      <c r="R75" s="31">
        <f>IF(P$12=0,0,P75/P$12)</f>
        <v>0.14191625537963437</v>
      </c>
      <c r="S75" s="13"/>
      <c r="T75" s="33">
        <f>+T71-T73</f>
        <v>-1639.0575948274927</v>
      </c>
      <c r="U75" s="13"/>
      <c r="V75" s="31">
        <f>IF(T$12=0,0,T75/T$12)</f>
        <v>-6.3822999413094073E-3</v>
      </c>
      <c r="W75" s="16"/>
      <c r="X75" s="33">
        <f>P75-T75</f>
        <v>37582.18759482749</v>
      </c>
      <c r="Y75" s="16"/>
      <c r="Z75" s="31">
        <f>IF(T75=0,0,X75/T75)</f>
        <v>-22.929143987025626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5" t="s">
        <v>294</v>
      </c>
      <c r="C78" s="25"/>
      <c r="D78" s="35">
        <f>SUM(D75:D77)</f>
        <v>3895.2700000000004</v>
      </c>
      <c r="E78" s="13"/>
      <c r="F78" s="34">
        <f>IF(D$12=0,0,D78/D$12)</f>
        <v>0.22363474566540362</v>
      </c>
      <c r="G78" s="13"/>
      <c r="H78" s="35">
        <f>SUM(H75:H77)</f>
        <v>519.93847082230786</v>
      </c>
      <c r="I78" s="13"/>
      <c r="J78" s="34">
        <f>IF(H$12=0,0,H78/H$12)</f>
        <v>1.4319429105544144E-2</v>
      </c>
      <c r="K78" s="16"/>
      <c r="L78" s="35">
        <f>+D78-H78</f>
        <v>3375.3315291776926</v>
      </c>
      <c r="M78" s="16"/>
      <c r="N78" s="34">
        <f>IF(H78=0,0,L78/H78)</f>
        <v>6.4917903148029081</v>
      </c>
      <c r="O78" s="26"/>
      <c r="P78" s="35">
        <f>SUM(P75:P77)</f>
        <v>35943.129999999997</v>
      </c>
      <c r="Q78" s="13"/>
      <c r="R78" s="34">
        <f>IF(P$12=0,0,P78/P$12)</f>
        <v>0.14191625537963437</v>
      </c>
      <c r="S78" s="13"/>
      <c r="T78" s="35">
        <f>SUM(T75:T77)</f>
        <v>-1639.0575948274927</v>
      </c>
      <c r="U78" s="13"/>
      <c r="V78" s="34">
        <f>IF(T$12=0,0,T78/T$12)</f>
        <v>-6.3822999413094073E-3</v>
      </c>
      <c r="W78" s="16"/>
      <c r="X78" s="35">
        <f>+P78-T78</f>
        <v>37582.18759482749</v>
      </c>
      <c r="Y78" s="16"/>
      <c r="Z78" s="34">
        <f>IF(T78=0,0,X78/T78)</f>
        <v>-22.929143987025626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61">
        <v>44481.978941666668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6" t="s">
        <v>56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4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92D050"/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str">
        <f>CONCATENATE("Period ",RIGHT(202203,2),", ",2022)</f>
        <v>Period 03, 2022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44464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str">
        <f>CONCATENATE("Department ","501", " - ", "ID Card Services")</f>
        <v>Department 501 - ID Card Services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>
        <f>SUM(OSRRefD13x_0)</f>
        <v>17418</v>
      </c>
      <c r="E12" s="4"/>
      <c r="F12" s="12"/>
      <c r="G12" s="4"/>
      <c r="H12" s="4">
        <f>SUM(OSRRefH13x_0)</f>
        <v>36310</v>
      </c>
      <c r="I12" s="4"/>
      <c r="J12" s="12"/>
      <c r="K12" s="4"/>
      <c r="L12" s="4">
        <f t="shared" ref="L12:L13" si="0">+D12-H12</f>
        <v>-18892</v>
      </c>
      <c r="M12" s="4"/>
      <c r="N12" s="12">
        <f t="shared" ref="N12:N13" si="1">IF(H12=0,0,L12/H12)</f>
        <v>-0.52029743872211509</v>
      </c>
      <c r="O12" s="10"/>
      <c r="P12" s="4">
        <f>SUM(OSRRefP13x_0)</f>
        <v>253270</v>
      </c>
      <c r="Q12" s="4"/>
      <c r="R12" s="12"/>
      <c r="S12" s="4"/>
      <c r="T12" s="4">
        <f>SUM(OSRRefT13x_0)</f>
        <v>256813</v>
      </c>
      <c r="U12" s="4"/>
      <c r="V12" s="12"/>
      <c r="W12" s="4"/>
      <c r="X12" s="4">
        <f t="shared" ref="X12:X13" si="2">+P12-T12</f>
        <v>-3543</v>
      </c>
      <c r="Y12" s="4"/>
      <c r="Z12" s="12">
        <f t="shared" ref="Z12:Z13" si="3">IF(T12=0,0,X12/T12)</f>
        <v>-1.37960305747762E-2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--17418</f>
        <v>17418</v>
      </c>
      <c r="E13" s="2"/>
      <c r="F13" s="19"/>
      <c r="G13" s="2"/>
      <c r="H13" s="2">
        <v>36310</v>
      </c>
      <c r="I13" s="2"/>
      <c r="J13" s="19"/>
      <c r="K13" s="2"/>
      <c r="L13" s="2">
        <f t="shared" si="0"/>
        <v>-18892</v>
      </c>
      <c r="M13" s="2"/>
      <c r="N13" s="19">
        <f t="shared" si="1"/>
        <v>-0.52029743872211509</v>
      </c>
      <c r="O13" s="11"/>
      <c r="P13" s="2">
        <f>--253270</f>
        <v>253270</v>
      </c>
      <c r="Q13" s="2"/>
      <c r="R13" s="19"/>
      <c r="S13" s="2"/>
      <c r="T13" s="2">
        <v>256813</v>
      </c>
      <c r="U13" s="2"/>
      <c r="V13" s="19"/>
      <c r="W13" s="2"/>
      <c r="X13" s="2">
        <f t="shared" si="2"/>
        <v>-3543</v>
      </c>
      <c r="Y13" s="2"/>
      <c r="Z13" s="19">
        <f t="shared" si="3"/>
        <v>-1.37960305747762E-2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257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108</v>
      </c>
      <c r="C17" s="25"/>
      <c r="D17" s="21">
        <f>D12-D15</f>
        <v>17418</v>
      </c>
      <c r="E17" s="13"/>
      <c r="F17" s="20">
        <f>IF(D$12=0,0,D17/D$12)</f>
        <v>1</v>
      </c>
      <c r="G17" s="13"/>
      <c r="H17" s="21">
        <f>H12-H15</f>
        <v>36310</v>
      </c>
      <c r="I17" s="13"/>
      <c r="J17" s="20">
        <f>IF(H$12=0,0,H17/H$12)</f>
        <v>1</v>
      </c>
      <c r="K17" s="16"/>
      <c r="L17" s="21">
        <f>+D17-H17</f>
        <v>-18892</v>
      </c>
      <c r="M17" s="16"/>
      <c r="N17" s="20">
        <f>IF(H17=0,0,L17/H17)</f>
        <v>-0.52029743872211509</v>
      </c>
      <c r="O17" s="26"/>
      <c r="P17" s="21">
        <f>P12-P15</f>
        <v>253270</v>
      </c>
      <c r="Q17" s="13"/>
      <c r="R17" s="20">
        <f>IF(P$12=0,0,P17/P$12)</f>
        <v>1</v>
      </c>
      <c r="S17" s="13"/>
      <c r="T17" s="21">
        <f>T12-T15</f>
        <v>256813</v>
      </c>
      <c r="U17" s="13"/>
      <c r="V17" s="20">
        <f>IF(T$12=0,0,T17/T$12)</f>
        <v>1</v>
      </c>
      <c r="W17" s="16"/>
      <c r="X17" s="21">
        <f>+P17-T17</f>
        <v>-3543</v>
      </c>
      <c r="Y17" s="16"/>
      <c r="Z17" s="20">
        <f>IF(T17=0,0,X17/T17)</f>
        <v>-1.37960305747762E-2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295</v>
      </c>
      <c r="C19" s="10"/>
      <c r="D19" s="22">
        <f>SUM(OSRRefD22x_0)</f>
        <v>18581.89</v>
      </c>
      <c r="E19" s="22"/>
      <c r="F19" s="32">
        <f t="shared" ref="F19:F29" si="4">IF(D$12=0,0,D19/D$12)</f>
        <v>1.0668211046044322</v>
      </c>
      <c r="G19" s="22"/>
      <c r="H19" s="22">
        <f>SUM(OSRRefH22x_0)</f>
        <v>34999.061529177692</v>
      </c>
      <c r="I19" s="22"/>
      <c r="J19" s="32">
        <f t="shared" ref="J19:J29" si="5">IF(H$12=0,0,H19/H$12)</f>
        <v>0.96389593856176514</v>
      </c>
      <c r="K19" s="4"/>
      <c r="L19" s="22">
        <f t="shared" ref="L19:L29" si="6">+D19-H19</f>
        <v>-16417.171529177693</v>
      </c>
      <c r="M19" s="4"/>
      <c r="N19" s="32">
        <f t="shared" ref="N19:N29" si="7">IF(H19=0,0,L19/H19)</f>
        <v>-0.46907462120066212</v>
      </c>
      <c r="O19" s="10"/>
      <c r="P19" s="22">
        <f>SUM(OSRRefP22x_0)</f>
        <v>188706.79</v>
      </c>
      <c r="Q19" s="22"/>
      <c r="R19" s="32">
        <f t="shared" ref="R19:R29" si="8">IF(P$12=0,0,P19/P$12)</f>
        <v>0.74508149405772495</v>
      </c>
      <c r="S19" s="22"/>
      <c r="T19" s="22">
        <f>SUM(OSRRefT22x_0)</f>
        <v>237766.05759482749</v>
      </c>
      <c r="U19" s="22"/>
      <c r="V19" s="32">
        <f t="shared" ref="V19:V29" si="9">IF(T$12=0,0,T19/T$12)</f>
        <v>0.92583341807006458</v>
      </c>
      <c r="W19" s="4"/>
      <c r="X19" s="22">
        <f t="shared" ref="X19:X29" si="10">+P19-T19</f>
        <v>-49059.267594827485</v>
      </c>
      <c r="Y19" s="4"/>
      <c r="Z19" s="32">
        <f t="shared" ref="Z19:Z29" si="11">IF(T19=0,0,X19/T19)</f>
        <v>-0.20633419290834365</v>
      </c>
    </row>
    <row r="20" spans="1:26" s="28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3562.0199999999995</v>
      </c>
      <c r="E20" s="1"/>
      <c r="F20" s="5">
        <f t="shared" si="4"/>
        <v>0.20450223906303822</v>
      </c>
      <c r="G20" s="1"/>
      <c r="H20" s="1">
        <f>SUM(OSRRefH22_0x_0)</f>
        <v>3373.0232868699995</v>
      </c>
      <c r="I20" s="1"/>
      <c r="J20" s="5">
        <f t="shared" si="5"/>
        <v>9.2895160751032754E-2</v>
      </c>
      <c r="K20" s="1"/>
      <c r="L20" s="1">
        <f t="shared" si="6"/>
        <v>188.99671312999999</v>
      </c>
      <c r="M20" s="1"/>
      <c r="N20" s="5">
        <f t="shared" si="7"/>
        <v>5.6031843558773553E-2</v>
      </c>
      <c r="O20" s="14"/>
      <c r="P20" s="1">
        <f>SUM(OSRRefP22_0x_0)</f>
        <v>11228.220000000001</v>
      </c>
      <c r="Q20" s="1"/>
      <c r="R20" s="5">
        <f t="shared" si="8"/>
        <v>4.4333004303707513E-2</v>
      </c>
      <c r="S20" s="1"/>
      <c r="T20" s="1">
        <f>SUM(OSRRefT22_0x_0)</f>
        <v>12705.183307327499</v>
      </c>
      <c r="U20" s="1"/>
      <c r="V20" s="5">
        <f t="shared" si="9"/>
        <v>4.9472508429586892E-2</v>
      </c>
      <c r="W20" s="1"/>
      <c r="X20" s="1">
        <f t="shared" si="10"/>
        <v>-1476.9633073274981</v>
      </c>
      <c r="Y20" s="1"/>
      <c r="Z20" s="5">
        <f t="shared" si="11"/>
        <v>-0.11624887824134615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7">
        <v>1050.3699999999999</v>
      </c>
      <c r="E21" s="2"/>
      <c r="F21" s="6">
        <f t="shared" si="4"/>
        <v>6.0303708806981278E-2</v>
      </c>
      <c r="G21" s="2"/>
      <c r="H21" s="7">
        <v>673.19318387769204</v>
      </c>
      <c r="I21" s="2"/>
      <c r="J21" s="6">
        <f t="shared" si="5"/>
        <v>1.854015929159163E-2</v>
      </c>
      <c r="K21" s="2"/>
      <c r="L21" s="7">
        <f t="shared" si="6"/>
        <v>377.17681612230786</v>
      </c>
      <c r="M21" s="2"/>
      <c r="N21" s="6">
        <f t="shared" si="7"/>
        <v>0.56028020656672983</v>
      </c>
      <c r="O21" s="11"/>
      <c r="P21" s="7">
        <v>3453.44</v>
      </c>
      <c r="Q21" s="2"/>
      <c r="R21" s="6">
        <f t="shared" si="8"/>
        <v>1.3635408852213054E-2</v>
      </c>
      <c r="S21" s="2"/>
      <c r="T21" s="7">
        <v>4176.7012226024999</v>
      </c>
      <c r="U21" s="2"/>
      <c r="V21" s="6">
        <f t="shared" si="9"/>
        <v>1.6263589548046634E-2</v>
      </c>
      <c r="W21" s="2"/>
      <c r="X21" s="7">
        <f t="shared" si="10"/>
        <v>-723.26122260249986</v>
      </c>
      <c r="Y21" s="2"/>
      <c r="Z21" s="6">
        <f t="shared" si="11"/>
        <v>-0.17316565970496597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7">
        <v>158.59</v>
      </c>
      <c r="E22" s="2"/>
      <c r="F22" s="6">
        <f t="shared" si="4"/>
        <v>9.1049489034332309E-3</v>
      </c>
      <c r="G22" s="2"/>
      <c r="H22" s="7">
        <v>316.00079640000001</v>
      </c>
      <c r="I22" s="2"/>
      <c r="J22" s="6">
        <f t="shared" si="5"/>
        <v>8.7028586174607552E-3</v>
      </c>
      <c r="K22" s="2"/>
      <c r="L22" s="7">
        <f t="shared" si="6"/>
        <v>-157.41079640000001</v>
      </c>
      <c r="M22" s="2"/>
      <c r="N22" s="6">
        <f t="shared" si="7"/>
        <v>-0.49813417622133566</v>
      </c>
      <c r="O22" s="11"/>
      <c r="P22" s="7">
        <v>496.73</v>
      </c>
      <c r="Q22" s="2"/>
      <c r="R22" s="6">
        <f t="shared" si="8"/>
        <v>1.9612666324475858E-3</v>
      </c>
      <c r="S22" s="2"/>
      <c r="T22" s="7">
        <v>1030.1615882999999</v>
      </c>
      <c r="U22" s="2"/>
      <c r="V22" s="6">
        <f t="shared" si="9"/>
        <v>4.0113295989688998E-3</v>
      </c>
      <c r="W22" s="2"/>
      <c r="X22" s="7">
        <f t="shared" si="10"/>
        <v>-533.43158829999993</v>
      </c>
      <c r="Y22" s="2"/>
      <c r="Z22" s="6">
        <f t="shared" si="11"/>
        <v>-0.5178135103836311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7">
        <v>1054.3499999999999</v>
      </c>
      <c r="E23" s="2"/>
      <c r="F23" s="6">
        <f t="shared" si="4"/>
        <v>6.0532208060626931E-2</v>
      </c>
      <c r="G23" s="2"/>
      <c r="H23" s="7">
        <v>1022.5</v>
      </c>
      <c r="I23" s="2"/>
      <c r="J23" s="6">
        <f t="shared" si="5"/>
        <v>2.8160286422473146E-2</v>
      </c>
      <c r="K23" s="2"/>
      <c r="L23" s="7">
        <f t="shared" si="6"/>
        <v>31.849999999999909</v>
      </c>
      <c r="M23" s="2"/>
      <c r="N23" s="6">
        <f t="shared" si="7"/>
        <v>3.114914425427864E-2</v>
      </c>
      <c r="O23" s="11"/>
      <c r="P23" s="7">
        <v>3163.05</v>
      </c>
      <c r="Q23" s="2"/>
      <c r="R23" s="6">
        <f t="shared" si="8"/>
        <v>1.2488845895684449E-2</v>
      </c>
      <c r="S23" s="2"/>
      <c r="T23" s="7">
        <v>3067.5</v>
      </c>
      <c r="U23" s="2"/>
      <c r="V23" s="6">
        <f t="shared" si="9"/>
        <v>1.1944488791455262E-2</v>
      </c>
      <c r="W23" s="2"/>
      <c r="X23" s="7">
        <f t="shared" si="10"/>
        <v>95.550000000000182</v>
      </c>
      <c r="Y23" s="2"/>
      <c r="Z23" s="6">
        <f t="shared" si="11"/>
        <v>3.1149144254278789E-2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7">
        <v>31.46</v>
      </c>
      <c r="E24" s="2"/>
      <c r="F24" s="6">
        <f t="shared" si="4"/>
        <v>1.8061775175106213E-3</v>
      </c>
      <c r="G24" s="2"/>
      <c r="H24" s="7">
        <v>42.5385687461538</v>
      </c>
      <c r="I24" s="2"/>
      <c r="J24" s="6">
        <f t="shared" si="5"/>
        <v>1.1715386600427925E-3</v>
      </c>
      <c r="K24" s="2"/>
      <c r="L24" s="7">
        <f t="shared" si="6"/>
        <v>-11.078568746153799</v>
      </c>
      <c r="M24" s="2"/>
      <c r="N24" s="6">
        <f t="shared" si="7"/>
        <v>-0.26043586027222621</v>
      </c>
      <c r="O24" s="11"/>
      <c r="P24" s="7">
        <v>98.1</v>
      </c>
      <c r="Q24" s="2"/>
      <c r="R24" s="6">
        <f t="shared" si="8"/>
        <v>3.8733367552414418E-4</v>
      </c>
      <c r="S24" s="2"/>
      <c r="T24" s="7">
        <v>138.675598425</v>
      </c>
      <c r="U24" s="2"/>
      <c r="V24" s="6">
        <f t="shared" si="9"/>
        <v>5.39986676784275E-4</v>
      </c>
      <c r="W24" s="2"/>
      <c r="X24" s="7">
        <f t="shared" si="10"/>
        <v>-40.57559842500001</v>
      </c>
      <c r="Y24" s="2"/>
      <c r="Z24" s="6">
        <f t="shared" si="11"/>
        <v>-0.29259364218243872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7">
        <v>586.58000000000004</v>
      </c>
      <c r="E25" s="2"/>
      <c r="F25" s="6">
        <f t="shared" si="4"/>
        <v>3.3676656332529573E-2</v>
      </c>
      <c r="G25" s="2"/>
      <c r="H25" s="7">
        <v>576.92767246153903</v>
      </c>
      <c r="I25" s="2"/>
      <c r="J25" s="6">
        <f t="shared" si="5"/>
        <v>1.5888947189797276E-2</v>
      </c>
      <c r="K25" s="2"/>
      <c r="L25" s="7">
        <f t="shared" si="6"/>
        <v>9.6523275384610088</v>
      </c>
      <c r="M25" s="2"/>
      <c r="N25" s="6">
        <f t="shared" si="7"/>
        <v>1.6730567797654881E-2</v>
      </c>
      <c r="O25" s="11"/>
      <c r="P25" s="7">
        <v>1759.74</v>
      </c>
      <c r="Q25" s="2"/>
      <c r="R25" s="6">
        <f t="shared" si="8"/>
        <v>6.9480791250444186E-3</v>
      </c>
      <c r="S25" s="2"/>
      <c r="T25" s="7">
        <v>1875.0149355000001</v>
      </c>
      <c r="U25" s="2"/>
      <c r="V25" s="6">
        <f t="shared" si="9"/>
        <v>7.3010904257183248E-3</v>
      </c>
      <c r="W25" s="2"/>
      <c r="X25" s="7">
        <f t="shared" si="10"/>
        <v>-115.27493550000008</v>
      </c>
      <c r="Y25" s="2"/>
      <c r="Z25" s="6">
        <f t="shared" si="11"/>
        <v>-6.1479475879086976E-2</v>
      </c>
    </row>
    <row r="26" spans="1:26" s="24" customFormat="1" hidden="1" outlineLevel="2" x14ac:dyDescent="0.25">
      <c r="A26" s="29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9"/>
      <c r="B27" s="11" t="str">
        <f>CONCATENATE("          ", "6117", " - ", "RETIREMENT STAFF HOURLY")</f>
        <v xml:space="preserve">          6117 - RETIREMENT STAFF HOURLY</v>
      </c>
      <c r="C27" s="11"/>
      <c r="D27" s="7"/>
      <c r="E27" s="2"/>
      <c r="F27" s="6">
        <f t="shared" si="4"/>
        <v>0</v>
      </c>
      <c r="G27" s="2"/>
      <c r="H27" s="7"/>
      <c r="I27" s="2"/>
      <c r="J27" s="6">
        <f t="shared" si="5"/>
        <v>0</v>
      </c>
      <c r="K27" s="2"/>
      <c r="L27" s="7">
        <f t="shared" si="6"/>
        <v>0</v>
      </c>
      <c r="M27" s="2"/>
      <c r="N27" s="6">
        <f t="shared" si="7"/>
        <v>0</v>
      </c>
      <c r="O27" s="11"/>
      <c r="P27" s="7">
        <v>215.15</v>
      </c>
      <c r="Q27" s="2"/>
      <c r="R27" s="6">
        <f t="shared" si="8"/>
        <v>8.4948868796146408E-4</v>
      </c>
      <c r="S27" s="2"/>
      <c r="T27" s="7"/>
      <c r="U27" s="2"/>
      <c r="V27" s="6">
        <f t="shared" si="9"/>
        <v>0</v>
      </c>
      <c r="W27" s="2"/>
      <c r="X27" s="7">
        <f t="shared" si="10"/>
        <v>215.15</v>
      </c>
      <c r="Y27" s="2"/>
      <c r="Z27" s="6">
        <f t="shared" si="11"/>
        <v>0</v>
      </c>
    </row>
    <row r="28" spans="1:26" s="24" customFormat="1" hidden="1" outlineLevel="2" x14ac:dyDescent="0.25">
      <c r="A28" s="29"/>
      <c r="B28" s="11" t="str">
        <f>CONCATENATE("          ", "6118", " - ", "VACATION")</f>
        <v xml:space="preserve">          6118 - VACATION</v>
      </c>
      <c r="C28" s="11"/>
      <c r="D28" s="7">
        <v>413.76</v>
      </c>
      <c r="E28" s="2"/>
      <c r="F28" s="6">
        <f t="shared" si="4"/>
        <v>2.3754736479503959E-2</v>
      </c>
      <c r="G28" s="2"/>
      <c r="H28" s="7">
        <v>201.25383923076899</v>
      </c>
      <c r="I28" s="2"/>
      <c r="J28" s="6">
        <f t="shared" si="5"/>
        <v>5.5426559964408973E-3</v>
      </c>
      <c r="K28" s="2"/>
      <c r="L28" s="7">
        <f t="shared" si="6"/>
        <v>212.506160769231</v>
      </c>
      <c r="M28" s="2"/>
      <c r="N28" s="6">
        <f t="shared" si="7"/>
        <v>1.0559110901012898</v>
      </c>
      <c r="O28" s="11"/>
      <c r="P28" s="7">
        <v>1241.28</v>
      </c>
      <c r="Q28" s="2"/>
      <c r="R28" s="6">
        <f t="shared" si="8"/>
        <v>4.9010147273660523E-3</v>
      </c>
      <c r="S28" s="2"/>
      <c r="T28" s="7">
        <v>654.07497750000005</v>
      </c>
      <c r="U28" s="2"/>
      <c r="V28" s="6">
        <f t="shared" si="9"/>
        <v>2.5468920089715087E-3</v>
      </c>
      <c r="W28" s="2"/>
      <c r="X28" s="7">
        <f t="shared" si="10"/>
        <v>587.20502249999993</v>
      </c>
      <c r="Y28" s="2"/>
      <c r="Z28" s="6">
        <f t="shared" si="11"/>
        <v>0.89776408317041889</v>
      </c>
    </row>
    <row r="29" spans="1:26" s="24" customFormat="1" hidden="1" outlineLevel="2" x14ac:dyDescent="0.25">
      <c r="A29" s="29"/>
      <c r="B29" s="11" t="str">
        <f>CONCATENATE("          ", "6119", " - ", "SICK LEAVE")</f>
        <v xml:space="preserve">          6119 - SICK LEAVE</v>
      </c>
      <c r="C29" s="11"/>
      <c r="D29" s="7">
        <v>266.91000000000003</v>
      </c>
      <c r="E29" s="2"/>
      <c r="F29" s="6">
        <f t="shared" si="4"/>
        <v>1.5323802962452636E-2</v>
      </c>
      <c r="G29" s="2"/>
      <c r="H29" s="7">
        <v>540.60922615384595</v>
      </c>
      <c r="I29" s="2"/>
      <c r="J29" s="6">
        <f t="shared" si="5"/>
        <v>1.4888714573226273E-2</v>
      </c>
      <c r="K29" s="2"/>
      <c r="L29" s="7">
        <f t="shared" si="6"/>
        <v>-273.69922615384593</v>
      </c>
      <c r="M29" s="2"/>
      <c r="N29" s="6">
        <f t="shared" si="7"/>
        <v>-0.50627923629989424</v>
      </c>
      <c r="O29" s="11"/>
      <c r="P29" s="7">
        <v>800.73</v>
      </c>
      <c r="Q29" s="2"/>
      <c r="R29" s="6">
        <f t="shared" si="8"/>
        <v>3.1615667074663405E-3</v>
      </c>
      <c r="S29" s="2"/>
      <c r="T29" s="7">
        <v>1763.054985</v>
      </c>
      <c r="U29" s="2"/>
      <c r="V29" s="6">
        <f t="shared" si="9"/>
        <v>6.8651313796419967E-3</v>
      </c>
      <c r="W29" s="2"/>
      <c r="X29" s="7">
        <f t="shared" si="10"/>
        <v>-962.32498499999997</v>
      </c>
      <c r="Y29" s="2"/>
      <c r="Z29" s="6">
        <f t="shared" si="11"/>
        <v>-0.54582811834425005</v>
      </c>
    </row>
    <row r="30" spans="1:26" s="28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13682.830000000002</v>
      </c>
      <c r="E30" s="1"/>
      <c r="F30" s="5">
        <f t="shared" ref="F30:F40" si="12">IF(D$12=0,0,D30/D$12)</f>
        <v>0.78555689516592042</v>
      </c>
      <c r="G30" s="1"/>
      <c r="H30" s="1">
        <f>SUM(OSRRefH22_1x_0)</f>
        <v>19921.038242307688</v>
      </c>
      <c r="I30" s="1"/>
      <c r="J30" s="5">
        <f t="shared" ref="J30:J40" si="13">IF(H$12=0,0,H30/H$12)</f>
        <v>0.54863779240726218</v>
      </c>
      <c r="K30" s="1"/>
      <c r="L30" s="1">
        <f t="shared" ref="L30:L40" si="14">+D30-H30</f>
        <v>-6238.2082423076863</v>
      </c>
      <c r="M30" s="1"/>
      <c r="N30" s="5">
        <f t="shared" ref="N30:N40" si="15">IF(H30=0,0,L30/H30)</f>
        <v>-0.31314674297744038</v>
      </c>
      <c r="O30" s="14"/>
      <c r="P30" s="1">
        <f>SUM(OSRRefP22_1x_0)</f>
        <v>50138.5</v>
      </c>
      <c r="Q30" s="1"/>
      <c r="R30" s="5">
        <f t="shared" ref="R30:R40" si="16">IF(P$12=0,0,P30/P$12)</f>
        <v>0.19796462273463103</v>
      </c>
      <c r="S30" s="1"/>
      <c r="T30" s="1">
        <f>SUM(OSRRefT22_1x_0)</f>
        <v>64945.874287500003</v>
      </c>
      <c r="U30" s="1"/>
      <c r="V30" s="5">
        <f t="shared" ref="V30:V40" si="17">IF(T$12=0,0,T30/T$12)</f>
        <v>0.25289169273946416</v>
      </c>
      <c r="W30" s="1"/>
      <c r="X30" s="1">
        <f t="shared" ref="X30:X40" si="18">+P30-T30</f>
        <v>-14807.374287500003</v>
      </c>
      <c r="Y30" s="1"/>
      <c r="Z30" s="5">
        <f t="shared" ref="Z30:Z40" si="19">IF(T30=0,0,X30/T30)</f>
        <v>-0.22799561095984733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>
        <v>4479.1000000000004</v>
      </c>
      <c r="E31" s="2"/>
      <c r="F31" s="6">
        <f t="shared" si="12"/>
        <v>0.25715351934780117</v>
      </c>
      <c r="G31" s="2"/>
      <c r="H31" s="7">
        <v>4139.8076923076896</v>
      </c>
      <c r="I31" s="2"/>
      <c r="J31" s="6">
        <f t="shared" si="13"/>
        <v>0.11401288053725392</v>
      </c>
      <c r="K31" s="2"/>
      <c r="L31" s="7">
        <f t="shared" si="14"/>
        <v>339.29230769231071</v>
      </c>
      <c r="M31" s="2"/>
      <c r="N31" s="6">
        <f t="shared" si="15"/>
        <v>8.1958470757653959E-2</v>
      </c>
      <c r="O31" s="11"/>
      <c r="P31" s="7">
        <v>14557.3</v>
      </c>
      <c r="Q31" s="2"/>
      <c r="R31" s="6">
        <f t="shared" si="16"/>
        <v>5.7477395664705645E-2</v>
      </c>
      <c r="S31" s="2"/>
      <c r="T31" s="7">
        <v>13454.375</v>
      </c>
      <c r="U31" s="2"/>
      <c r="V31" s="6">
        <f t="shared" si="17"/>
        <v>5.2389773882163287E-2</v>
      </c>
      <c r="W31" s="2"/>
      <c r="X31" s="7">
        <f t="shared" si="18"/>
        <v>1102.9249999999993</v>
      </c>
      <c r="Y31" s="2"/>
      <c r="Z31" s="6">
        <f t="shared" si="19"/>
        <v>8.1975193942490768E-2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7">
        <v>1307.68</v>
      </c>
      <c r="E32" s="2"/>
      <c r="F32" s="6">
        <f t="shared" si="12"/>
        <v>7.5076357790791137E-2</v>
      </c>
      <c r="G32" s="2"/>
      <c r="H32" s="7">
        <v>2233.2305500000002</v>
      </c>
      <c r="I32" s="2"/>
      <c r="J32" s="6">
        <f t="shared" si="13"/>
        <v>6.1504559350041316E-2</v>
      </c>
      <c r="K32" s="2"/>
      <c r="L32" s="7">
        <f t="shared" si="14"/>
        <v>-925.55055000000016</v>
      </c>
      <c r="M32" s="2"/>
      <c r="N32" s="6">
        <f t="shared" si="15"/>
        <v>-0.41444469313748195</v>
      </c>
      <c r="O32" s="11"/>
      <c r="P32" s="7">
        <v>8055.98</v>
      </c>
      <c r="Q32" s="2"/>
      <c r="R32" s="6">
        <f t="shared" si="16"/>
        <v>3.18078730208868E-2</v>
      </c>
      <c r="S32" s="2"/>
      <c r="T32" s="7">
        <v>7257.9992874999998</v>
      </c>
      <c r="U32" s="2"/>
      <c r="V32" s="6">
        <f t="shared" si="17"/>
        <v>2.8261806401934479E-2</v>
      </c>
      <c r="W32" s="2"/>
      <c r="X32" s="7">
        <f t="shared" si="18"/>
        <v>797.98071249999975</v>
      </c>
      <c r="Y32" s="2"/>
      <c r="Z32" s="6">
        <f t="shared" si="19"/>
        <v>0.10994499735957708</v>
      </c>
    </row>
    <row r="33" spans="1:26" s="24" customFormat="1" hidden="1" outlineLevel="2" x14ac:dyDescent="0.25">
      <c r="A33" s="29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>
        <v>2588</v>
      </c>
      <c r="E34" s="2"/>
      <c r="F34" s="6">
        <f t="shared" si="12"/>
        <v>0.14858192674245033</v>
      </c>
      <c r="G34" s="2"/>
      <c r="H34" s="7">
        <v>2088</v>
      </c>
      <c r="I34" s="2"/>
      <c r="J34" s="6">
        <f t="shared" si="13"/>
        <v>5.7504819608923161E-2</v>
      </c>
      <c r="K34" s="2"/>
      <c r="L34" s="7">
        <f t="shared" si="14"/>
        <v>500</v>
      </c>
      <c r="M34" s="2"/>
      <c r="N34" s="6">
        <f t="shared" si="15"/>
        <v>0.23946360153256704</v>
      </c>
      <c r="O34" s="11"/>
      <c r="P34" s="7">
        <v>4910.3999999999996</v>
      </c>
      <c r="Q34" s="2"/>
      <c r="R34" s="6">
        <f t="shared" si="16"/>
        <v>1.938800489596083E-2</v>
      </c>
      <c r="S34" s="2"/>
      <c r="T34" s="7">
        <v>6786</v>
      </c>
      <c r="U34" s="2"/>
      <c r="V34" s="6">
        <f t="shared" si="17"/>
        <v>2.6423895986573888E-2</v>
      </c>
      <c r="W34" s="2"/>
      <c r="X34" s="7">
        <f t="shared" si="18"/>
        <v>-1875.6000000000004</v>
      </c>
      <c r="Y34" s="2"/>
      <c r="Z34" s="6">
        <f t="shared" si="19"/>
        <v>-0.27639257294429714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>
        <v>5433.05</v>
      </c>
      <c r="E35" s="2"/>
      <c r="F35" s="6">
        <f t="shared" si="12"/>
        <v>0.31192157538178894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5433.05</v>
      </c>
      <c r="M35" s="2"/>
      <c r="N35" s="6">
        <f t="shared" si="15"/>
        <v>0</v>
      </c>
      <c r="O35" s="11"/>
      <c r="P35" s="7">
        <v>18843.12</v>
      </c>
      <c r="Q35" s="2"/>
      <c r="R35" s="6">
        <f t="shared" si="16"/>
        <v>7.4399336676274325E-2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18843.12</v>
      </c>
      <c r="Y35" s="2"/>
      <c r="Z35" s="6">
        <f t="shared" si="19"/>
        <v>0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/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7">
        <v>-125</v>
      </c>
      <c r="E37" s="2"/>
      <c r="F37" s="6">
        <f t="shared" si="12"/>
        <v>-7.1764840969112415E-3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-125</v>
      </c>
      <c r="M37" s="2"/>
      <c r="N37" s="6">
        <f t="shared" si="15"/>
        <v>0</v>
      </c>
      <c r="O37" s="11"/>
      <c r="P37" s="7">
        <v>3771.7</v>
      </c>
      <c r="Q37" s="2"/>
      <c r="R37" s="6">
        <f t="shared" si="16"/>
        <v>1.4892012476803411E-2</v>
      </c>
      <c r="S37" s="2"/>
      <c r="T37" s="7">
        <v>25987.5</v>
      </c>
      <c r="U37" s="2"/>
      <c r="V37" s="6">
        <f t="shared" si="17"/>
        <v>0.1011923072430134</v>
      </c>
      <c r="W37" s="2"/>
      <c r="X37" s="7">
        <f t="shared" si="18"/>
        <v>-22215.8</v>
      </c>
      <c r="Y37" s="2"/>
      <c r="Z37" s="6">
        <f t="shared" si="19"/>
        <v>-0.85486483886483888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12"/>
        <v>0</v>
      </c>
      <c r="G38" s="2"/>
      <c r="H38" s="7">
        <v>11460</v>
      </c>
      <c r="I38" s="2"/>
      <c r="J38" s="6">
        <f t="shared" si="13"/>
        <v>0.31561553291104377</v>
      </c>
      <c r="K38" s="2"/>
      <c r="L38" s="7">
        <f t="shared" si="14"/>
        <v>-11460</v>
      </c>
      <c r="M38" s="2"/>
      <c r="N38" s="6">
        <f t="shared" si="15"/>
        <v>-1</v>
      </c>
      <c r="O38" s="11"/>
      <c r="P38" s="7"/>
      <c r="Q38" s="2"/>
      <c r="R38" s="6">
        <f t="shared" si="16"/>
        <v>0</v>
      </c>
      <c r="S38" s="2"/>
      <c r="T38" s="7">
        <v>11460</v>
      </c>
      <c r="U38" s="2"/>
      <c r="V38" s="6">
        <f t="shared" si="17"/>
        <v>4.4623909225779065E-2</v>
      </c>
      <c r="W38" s="2"/>
      <c r="X38" s="7">
        <f t="shared" si="18"/>
        <v>-11460</v>
      </c>
      <c r="Y38" s="2"/>
      <c r="Z38" s="6">
        <f t="shared" si="19"/>
        <v>-1</v>
      </c>
    </row>
    <row r="39" spans="1:26" s="24" customFormat="1" hidden="1" outlineLevel="2" x14ac:dyDescent="0.25">
      <c r="A39" s="29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9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8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17.64</v>
      </c>
      <c r="E41" s="1"/>
      <c r="F41" s="5">
        <f t="shared" ref="F41:F49" si="20">IF(D$12=0,0,D41/D$12)</f>
        <v>1.0127454357561144E-3</v>
      </c>
      <c r="G41" s="1"/>
      <c r="H41" s="1">
        <f>SUM(OSRRefH22_2x_0)</f>
        <v>100</v>
      </c>
      <c r="I41" s="1"/>
      <c r="J41" s="5">
        <f t="shared" ref="J41:J49" si="21">IF(H$12=0,0,H41/H$12)</f>
        <v>2.7540622418066648E-3</v>
      </c>
      <c r="K41" s="1"/>
      <c r="L41" s="1">
        <f t="shared" ref="L41:L49" si="22">+D41-H41</f>
        <v>-82.36</v>
      </c>
      <c r="M41" s="1"/>
      <c r="N41" s="5">
        <f t="shared" ref="N41:N49" si="23">IF(H41=0,0,L41/H41)</f>
        <v>-0.8236</v>
      </c>
      <c r="O41" s="14"/>
      <c r="P41" s="1">
        <f>SUM(OSRRefP22_2x_0)</f>
        <v>35.28</v>
      </c>
      <c r="Q41" s="1"/>
      <c r="R41" s="5">
        <f t="shared" ref="R41:R49" si="24">IF(P$12=0,0,P41/P$12)</f>
        <v>1.3929798239033442E-4</v>
      </c>
      <c r="S41" s="1"/>
      <c r="T41" s="1">
        <f>SUM(OSRRefT22_2x_0)</f>
        <v>300</v>
      </c>
      <c r="U41" s="1"/>
      <c r="V41" s="5">
        <f t="shared" ref="V41:V49" si="25">IF(T$12=0,0,T41/T$12)</f>
        <v>1.1681651629785097E-3</v>
      </c>
      <c r="W41" s="1"/>
      <c r="X41" s="1">
        <f t="shared" ref="X41:X49" si="26">+P41-T41</f>
        <v>-264.72000000000003</v>
      </c>
      <c r="Y41" s="1"/>
      <c r="Z41" s="5">
        <f t="shared" ref="Z41:Z49" si="27">IF(T41=0,0,X41/T41)</f>
        <v>-0.88240000000000007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7">
        <v>17.64</v>
      </c>
      <c r="E42" s="2"/>
      <c r="F42" s="6">
        <f t="shared" si="20"/>
        <v>1.0127454357561144E-3</v>
      </c>
      <c r="G42" s="2"/>
      <c r="H42" s="7">
        <v>100</v>
      </c>
      <c r="I42" s="2"/>
      <c r="J42" s="6">
        <f t="shared" si="21"/>
        <v>2.7540622418066648E-3</v>
      </c>
      <c r="K42" s="2"/>
      <c r="L42" s="7">
        <f t="shared" si="22"/>
        <v>-82.36</v>
      </c>
      <c r="M42" s="2"/>
      <c r="N42" s="6">
        <f t="shared" si="23"/>
        <v>-0.8236</v>
      </c>
      <c r="O42" s="11"/>
      <c r="P42" s="7">
        <v>35.28</v>
      </c>
      <c r="Q42" s="2"/>
      <c r="R42" s="6">
        <f t="shared" si="24"/>
        <v>1.3929798239033442E-4</v>
      </c>
      <c r="S42" s="2"/>
      <c r="T42" s="7">
        <v>300</v>
      </c>
      <c r="U42" s="2"/>
      <c r="V42" s="6">
        <f t="shared" si="25"/>
        <v>1.1681651629785097E-3</v>
      </c>
      <c r="W42" s="2"/>
      <c r="X42" s="7">
        <f t="shared" si="26"/>
        <v>-264.72000000000003</v>
      </c>
      <c r="Y42" s="2"/>
      <c r="Z42" s="6">
        <f t="shared" si="27"/>
        <v>-0.88240000000000007</v>
      </c>
    </row>
    <row r="43" spans="1:26" s="28" customFormat="1" outlineLevel="1" collapsed="1" x14ac:dyDescent="0.25">
      <c r="A43" s="27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460.95</v>
      </c>
      <c r="E43" s="1"/>
      <c r="F43" s="5">
        <f t="shared" si="20"/>
        <v>2.6464002755769891E-2</v>
      </c>
      <c r="G43" s="1"/>
      <c r="H43" s="1">
        <f>SUM(OSRRefH22_3x_0)</f>
        <v>1250</v>
      </c>
      <c r="I43" s="1"/>
      <c r="J43" s="5">
        <f t="shared" si="21"/>
        <v>3.4425778022583307E-2</v>
      </c>
      <c r="K43" s="1"/>
      <c r="L43" s="1">
        <f t="shared" si="22"/>
        <v>-789.05</v>
      </c>
      <c r="M43" s="1"/>
      <c r="N43" s="5">
        <f t="shared" si="23"/>
        <v>-0.63123999999999991</v>
      </c>
      <c r="O43" s="14"/>
      <c r="P43" s="1">
        <f>SUM(OSRRefP22_3x_0)</f>
        <v>972.21</v>
      </c>
      <c r="Q43" s="1"/>
      <c r="R43" s="5">
        <f t="shared" si="24"/>
        <v>3.8386307103091565E-3</v>
      </c>
      <c r="S43" s="1"/>
      <c r="T43" s="1">
        <f>SUM(OSRRefT22_3x_0)</f>
        <v>3750</v>
      </c>
      <c r="U43" s="1"/>
      <c r="V43" s="5">
        <f t="shared" si="25"/>
        <v>1.460206453723137E-2</v>
      </c>
      <c r="W43" s="1"/>
      <c r="X43" s="1">
        <f t="shared" si="26"/>
        <v>-2777.79</v>
      </c>
      <c r="Y43" s="1"/>
      <c r="Z43" s="5">
        <f t="shared" si="27"/>
        <v>-0.74074399999999996</v>
      </c>
    </row>
    <row r="44" spans="1:26" s="24" customFormat="1" hidden="1" outlineLevel="2" x14ac:dyDescent="0.25">
      <c r="A44" s="29"/>
      <c r="B44" s="11" t="str">
        <f>CONCATENATE("          ", "6381", " - ", "BANK/CREDIT CARD FEES")</f>
        <v xml:space="preserve">          6381 - BANK/CREDIT CARD FEES</v>
      </c>
      <c r="C44" s="11"/>
      <c r="D44" s="7">
        <v>460.95</v>
      </c>
      <c r="E44" s="2"/>
      <c r="F44" s="6">
        <f t="shared" si="20"/>
        <v>2.6464002755769891E-2</v>
      </c>
      <c r="G44" s="2"/>
      <c r="H44" s="7">
        <v>1250</v>
      </c>
      <c r="I44" s="2"/>
      <c r="J44" s="6">
        <f t="shared" si="21"/>
        <v>3.4425778022583307E-2</v>
      </c>
      <c r="K44" s="2"/>
      <c r="L44" s="7">
        <f t="shared" si="22"/>
        <v>-789.05</v>
      </c>
      <c r="M44" s="2"/>
      <c r="N44" s="6">
        <f t="shared" si="23"/>
        <v>-0.63123999999999991</v>
      </c>
      <c r="O44" s="11"/>
      <c r="P44" s="7">
        <v>972.21</v>
      </c>
      <c r="Q44" s="2"/>
      <c r="R44" s="6">
        <f t="shared" si="24"/>
        <v>3.8386307103091565E-3</v>
      </c>
      <c r="S44" s="2"/>
      <c r="T44" s="7">
        <v>3750</v>
      </c>
      <c r="U44" s="2"/>
      <c r="V44" s="6">
        <f t="shared" si="25"/>
        <v>1.460206453723137E-2</v>
      </c>
      <c r="W44" s="2"/>
      <c r="X44" s="7">
        <f t="shared" si="26"/>
        <v>-2777.79</v>
      </c>
      <c r="Y44" s="2"/>
      <c r="Z44" s="6">
        <f t="shared" si="27"/>
        <v>-0.74074399999999996</v>
      </c>
    </row>
    <row r="45" spans="1:26" s="28" customFormat="1" outlineLevel="1" collapsed="1" x14ac:dyDescent="0.25">
      <c r="A45" s="27"/>
      <c r="B45" s="14" t="str">
        <f>CONCATENATE("     ","Employees' Appreciation                           ")</f>
        <v xml:space="preserve">     Employees' Appreciation                           </v>
      </c>
      <c r="C45" s="14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20</v>
      </c>
      <c r="I45" s="1"/>
      <c r="J45" s="5">
        <f t="shared" si="21"/>
        <v>5.50812448361333E-4</v>
      </c>
      <c r="K45" s="1"/>
      <c r="L45" s="1">
        <f t="shared" si="22"/>
        <v>-20</v>
      </c>
      <c r="M45" s="1"/>
      <c r="N45" s="5">
        <f t="shared" si="23"/>
        <v>-1</v>
      </c>
      <c r="O45" s="14"/>
      <c r="P45" s="1">
        <f>SUM(OSRRefP22_4x_0)</f>
        <v>0</v>
      </c>
      <c r="Q45" s="1"/>
      <c r="R45" s="5">
        <f t="shared" si="24"/>
        <v>0</v>
      </c>
      <c r="S45" s="1"/>
      <c r="T45" s="1">
        <f>SUM(OSRRefT22_4x_0)</f>
        <v>60</v>
      </c>
      <c r="U45" s="1"/>
      <c r="V45" s="5">
        <f t="shared" si="25"/>
        <v>2.3363303259570193E-4</v>
      </c>
      <c r="W45" s="1"/>
      <c r="X45" s="1">
        <f t="shared" si="26"/>
        <v>-60</v>
      </c>
      <c r="Y45" s="1"/>
      <c r="Z45" s="5">
        <f t="shared" si="27"/>
        <v>-1</v>
      </c>
    </row>
    <row r="46" spans="1:26" s="24" customFormat="1" hidden="1" outlineLevel="2" x14ac:dyDescent="0.25">
      <c r="A46" s="29"/>
      <c r="B46" s="11" t="str">
        <f>CONCATENATE("          ", "6277", " - ", "EMPLOYEE APPRECIATION")</f>
        <v xml:space="preserve">          6277 - EMPLOYEE APPRECIATION</v>
      </c>
      <c r="C46" s="11"/>
      <c r="D46" s="7"/>
      <c r="E46" s="2"/>
      <c r="F46" s="6">
        <f t="shared" si="20"/>
        <v>0</v>
      </c>
      <c r="G46" s="2"/>
      <c r="H46" s="7">
        <v>20</v>
      </c>
      <c r="I46" s="2"/>
      <c r="J46" s="6">
        <f t="shared" si="21"/>
        <v>5.50812448361333E-4</v>
      </c>
      <c r="K46" s="2"/>
      <c r="L46" s="7">
        <f t="shared" si="22"/>
        <v>-20</v>
      </c>
      <c r="M46" s="2"/>
      <c r="N46" s="6">
        <f t="shared" si="23"/>
        <v>-1</v>
      </c>
      <c r="O46" s="11"/>
      <c r="P46" s="7"/>
      <c r="Q46" s="2"/>
      <c r="R46" s="6">
        <f t="shared" si="24"/>
        <v>0</v>
      </c>
      <c r="S46" s="2"/>
      <c r="T46" s="7">
        <v>60</v>
      </c>
      <c r="U46" s="2"/>
      <c r="V46" s="6">
        <f t="shared" si="25"/>
        <v>2.3363303259570193E-4</v>
      </c>
      <c r="W46" s="2"/>
      <c r="X46" s="7">
        <f t="shared" si="26"/>
        <v>-60</v>
      </c>
      <c r="Y46" s="2"/>
      <c r="Z46" s="6">
        <f t="shared" si="27"/>
        <v>-1</v>
      </c>
    </row>
    <row r="47" spans="1:26" s="28" customFormat="1" outlineLevel="1" collapsed="1" x14ac:dyDescent="0.25">
      <c r="A47" s="27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SUM(OSRRefD22_5x_0)</f>
        <v>0.31</v>
      </c>
      <c r="E47" s="1"/>
      <c r="F47" s="5">
        <f t="shared" si="20"/>
        <v>1.7797680560339877E-5</v>
      </c>
      <c r="G47" s="1"/>
      <c r="H47" s="1">
        <f>SUM(OSRRefH22_5x_0)</f>
        <v>10</v>
      </c>
      <c r="I47" s="1"/>
      <c r="J47" s="5">
        <f t="shared" si="21"/>
        <v>2.754062241806665E-4</v>
      </c>
      <c r="K47" s="1"/>
      <c r="L47" s="1">
        <f t="shared" si="22"/>
        <v>-9.69</v>
      </c>
      <c r="M47" s="1"/>
      <c r="N47" s="5">
        <f t="shared" si="23"/>
        <v>-0.96899999999999997</v>
      </c>
      <c r="O47" s="14"/>
      <c r="P47" s="1">
        <f>SUM(OSRRefP22_5x_0)</f>
        <v>0.31</v>
      </c>
      <c r="Q47" s="1"/>
      <c r="R47" s="5">
        <f t="shared" si="24"/>
        <v>1.2239902080783354E-6</v>
      </c>
      <c r="S47" s="1"/>
      <c r="T47" s="1">
        <f>SUM(OSRRefT22_5x_0)</f>
        <v>30</v>
      </c>
      <c r="U47" s="1"/>
      <c r="V47" s="5">
        <f t="shared" si="25"/>
        <v>1.1681651629785096E-4</v>
      </c>
      <c r="W47" s="1"/>
      <c r="X47" s="1">
        <f t="shared" si="26"/>
        <v>-29.69</v>
      </c>
      <c r="Y47" s="1"/>
      <c r="Z47" s="5">
        <f t="shared" si="27"/>
        <v>-0.98966666666666669</v>
      </c>
    </row>
    <row r="48" spans="1:26" s="24" customFormat="1" hidden="1" outlineLevel="2" x14ac:dyDescent="0.25">
      <c r="A48" s="29"/>
      <c r="B48" s="11" t="str">
        <f>CONCATENATE("          ", "6305", " - ", "FREIGHT OUT")</f>
        <v xml:space="preserve">          6305 - FREIGHT OUT</v>
      </c>
      <c r="C48" s="11"/>
      <c r="D48" s="7">
        <v>0.31</v>
      </c>
      <c r="E48" s="2"/>
      <c r="F48" s="6">
        <f t="shared" si="20"/>
        <v>1.7797680560339877E-5</v>
      </c>
      <c r="G48" s="2"/>
      <c r="H48" s="7"/>
      <c r="I48" s="2"/>
      <c r="J48" s="6">
        <f t="shared" si="21"/>
        <v>0</v>
      </c>
      <c r="K48" s="2"/>
      <c r="L48" s="7">
        <f t="shared" si="22"/>
        <v>0.31</v>
      </c>
      <c r="M48" s="2"/>
      <c r="N48" s="6">
        <f t="shared" si="23"/>
        <v>0</v>
      </c>
      <c r="O48" s="11"/>
      <c r="P48" s="7">
        <v>0.31</v>
      </c>
      <c r="Q48" s="2"/>
      <c r="R48" s="6">
        <f t="shared" si="24"/>
        <v>1.2239902080783354E-6</v>
      </c>
      <c r="S48" s="2"/>
      <c r="T48" s="7"/>
      <c r="U48" s="2"/>
      <c r="V48" s="6">
        <f t="shared" si="25"/>
        <v>0</v>
      </c>
      <c r="W48" s="2"/>
      <c r="X48" s="7">
        <f t="shared" si="26"/>
        <v>0.31</v>
      </c>
      <c r="Y48" s="2"/>
      <c r="Z48" s="6">
        <f t="shared" si="27"/>
        <v>0</v>
      </c>
    </row>
    <row r="49" spans="1:26" s="24" customFormat="1" hidden="1" outlineLevel="2" x14ac:dyDescent="0.25">
      <c r="A49" s="29"/>
      <c r="B49" s="11" t="str">
        <f>CONCATENATE("          ", "6307", " - ", "POSTAGE")</f>
        <v xml:space="preserve">          6307 - POSTAGE</v>
      </c>
      <c r="C49" s="11"/>
      <c r="D49" s="7"/>
      <c r="E49" s="2"/>
      <c r="F49" s="6">
        <f t="shared" si="20"/>
        <v>0</v>
      </c>
      <c r="G49" s="2"/>
      <c r="H49" s="7">
        <v>10</v>
      </c>
      <c r="I49" s="2"/>
      <c r="J49" s="6">
        <f t="shared" si="21"/>
        <v>2.754062241806665E-4</v>
      </c>
      <c r="K49" s="2"/>
      <c r="L49" s="7">
        <f t="shared" si="22"/>
        <v>-10</v>
      </c>
      <c r="M49" s="2"/>
      <c r="N49" s="6">
        <f t="shared" si="23"/>
        <v>-1</v>
      </c>
      <c r="O49" s="11"/>
      <c r="P49" s="7"/>
      <c r="Q49" s="2"/>
      <c r="R49" s="6">
        <f t="shared" si="24"/>
        <v>0</v>
      </c>
      <c r="S49" s="2"/>
      <c r="T49" s="7">
        <v>30</v>
      </c>
      <c r="U49" s="2"/>
      <c r="V49" s="6">
        <f t="shared" si="25"/>
        <v>1.1681651629785096E-4</v>
      </c>
      <c r="W49" s="2"/>
      <c r="X49" s="7">
        <f t="shared" si="26"/>
        <v>-30</v>
      </c>
      <c r="Y49" s="2"/>
      <c r="Z49" s="6">
        <f t="shared" si="27"/>
        <v>-1</v>
      </c>
    </row>
    <row r="50" spans="1:26" s="28" customFormat="1" outlineLevel="1" collapsed="1" x14ac:dyDescent="0.25">
      <c r="A50" s="27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SUM(OSRRefD22_6x_0)</f>
        <v>0</v>
      </c>
      <c r="E50" s="1"/>
      <c r="F50" s="5">
        <f t="shared" ref="F50:F59" si="28">IF(D$12=0,0,D50/D$12)</f>
        <v>0</v>
      </c>
      <c r="G50" s="1"/>
      <c r="H50" s="1">
        <f>SUM(OSRRefH22_6x_0)</f>
        <v>50</v>
      </c>
      <c r="I50" s="1"/>
      <c r="J50" s="5">
        <f t="shared" ref="J50:J59" si="29">IF(H$12=0,0,H50/H$12)</f>
        <v>1.3770311209033324E-3</v>
      </c>
      <c r="K50" s="1"/>
      <c r="L50" s="1">
        <f t="shared" ref="L50:L59" si="30">+D50-H50</f>
        <v>-50</v>
      </c>
      <c r="M50" s="1"/>
      <c r="N50" s="5">
        <f t="shared" ref="N50:N59" si="31">IF(H50=0,0,L50/H50)</f>
        <v>-1</v>
      </c>
      <c r="O50" s="14"/>
      <c r="P50" s="1">
        <f>SUM(OSRRefP22_6x_0)</f>
        <v>0</v>
      </c>
      <c r="Q50" s="1"/>
      <c r="R50" s="5">
        <f t="shared" ref="R50:R59" si="32">IF(P$12=0,0,P50/P$12)</f>
        <v>0</v>
      </c>
      <c r="S50" s="1"/>
      <c r="T50" s="1">
        <f>SUM(OSRRefT22_6x_0)</f>
        <v>150</v>
      </c>
      <c r="U50" s="1"/>
      <c r="V50" s="5">
        <f t="shared" ref="V50:V59" si="33">IF(T$12=0,0,T50/T$12)</f>
        <v>5.8408258148925484E-4</v>
      </c>
      <c r="W50" s="1"/>
      <c r="X50" s="1">
        <f t="shared" ref="X50:X59" si="34">+P50-T50</f>
        <v>-150</v>
      </c>
      <c r="Y50" s="1"/>
      <c r="Z50" s="5">
        <f t="shared" ref="Z50:Z59" si="35">IF(T50=0,0,X50/T50)</f>
        <v>-1</v>
      </c>
    </row>
    <row r="51" spans="1:26" s="24" customFormat="1" hidden="1" outlineLevel="2" x14ac:dyDescent="0.25">
      <c r="A51" s="29"/>
      <c r="B51" s="11" t="str">
        <f>CONCATENATE("          ", "6279", " - ", "GENERAL EXPENSE")</f>
        <v xml:space="preserve">          6279 - GENERAL EXPENSE</v>
      </c>
      <c r="C51" s="11"/>
      <c r="D51" s="7"/>
      <c r="E51" s="2"/>
      <c r="F51" s="6">
        <f t="shared" si="28"/>
        <v>0</v>
      </c>
      <c r="G51" s="2"/>
      <c r="H51" s="7">
        <v>50</v>
      </c>
      <c r="I51" s="2"/>
      <c r="J51" s="6">
        <f t="shared" si="29"/>
        <v>1.3770311209033324E-3</v>
      </c>
      <c r="K51" s="2"/>
      <c r="L51" s="7">
        <f t="shared" si="30"/>
        <v>-50</v>
      </c>
      <c r="M51" s="2"/>
      <c r="N51" s="6">
        <f t="shared" si="31"/>
        <v>-1</v>
      </c>
      <c r="O51" s="11"/>
      <c r="P51" s="7"/>
      <c r="Q51" s="2"/>
      <c r="R51" s="6">
        <f t="shared" si="32"/>
        <v>0</v>
      </c>
      <c r="S51" s="2"/>
      <c r="T51" s="7">
        <v>150</v>
      </c>
      <c r="U51" s="2"/>
      <c r="V51" s="6">
        <f t="shared" si="33"/>
        <v>5.8408258148925484E-4</v>
      </c>
      <c r="W51" s="2"/>
      <c r="X51" s="7">
        <f t="shared" si="34"/>
        <v>-150</v>
      </c>
      <c r="Y51" s="2"/>
      <c r="Z51" s="6">
        <f t="shared" si="35"/>
        <v>-1</v>
      </c>
    </row>
    <row r="52" spans="1:26" s="28" customFormat="1" outlineLevel="1" collapsed="1" x14ac:dyDescent="0.25">
      <c r="A52" s="27"/>
      <c r="B52" s="14" t="str">
        <f>CONCATENATE("     ","Insurance                                         ")</f>
        <v xml:space="preserve">     Insurance                                         </v>
      </c>
      <c r="C52" s="14"/>
      <c r="D52" s="1">
        <f>SUM(OSRRefD22_7x_0)</f>
        <v>39.43</v>
      </c>
      <c r="E52" s="1"/>
      <c r="F52" s="5">
        <f t="shared" si="28"/>
        <v>2.2637501435296818E-3</v>
      </c>
      <c r="G52" s="1"/>
      <c r="H52" s="1">
        <f>SUM(OSRRefH22_7x_0)</f>
        <v>40</v>
      </c>
      <c r="I52" s="1"/>
      <c r="J52" s="5">
        <f t="shared" si="29"/>
        <v>1.101624896722666E-3</v>
      </c>
      <c r="K52" s="1"/>
      <c r="L52" s="1">
        <f t="shared" si="30"/>
        <v>-0.57000000000000028</v>
      </c>
      <c r="M52" s="1"/>
      <c r="N52" s="5">
        <f t="shared" si="31"/>
        <v>-1.4250000000000007E-2</v>
      </c>
      <c r="O52" s="14"/>
      <c r="P52" s="1">
        <f>SUM(OSRRefP22_7x_0)</f>
        <v>118.29</v>
      </c>
      <c r="Q52" s="1"/>
      <c r="R52" s="5">
        <f t="shared" si="32"/>
        <v>4.6705097326963323E-4</v>
      </c>
      <c r="S52" s="1"/>
      <c r="T52" s="1">
        <f>SUM(OSRRefT22_7x_0)</f>
        <v>120</v>
      </c>
      <c r="U52" s="1"/>
      <c r="V52" s="5">
        <f t="shared" si="33"/>
        <v>4.6726606519140385E-4</v>
      </c>
      <c r="W52" s="1"/>
      <c r="X52" s="1">
        <f t="shared" si="34"/>
        <v>-1.7099999999999937</v>
      </c>
      <c r="Y52" s="1"/>
      <c r="Z52" s="5">
        <f t="shared" si="35"/>
        <v>-1.4249999999999948E-2</v>
      </c>
    </row>
    <row r="53" spans="1:26" s="24" customFormat="1" hidden="1" outlineLevel="2" x14ac:dyDescent="0.25">
      <c r="A53" s="29"/>
      <c r="B53" s="11" t="str">
        <f>CONCATENATE("          ", "6314", " - ", "LIABILITY INSURANCE")</f>
        <v xml:space="preserve">          6314 - LIABILITY INSURANCE</v>
      </c>
      <c r="C53" s="11"/>
      <c r="D53" s="7">
        <v>39.43</v>
      </c>
      <c r="E53" s="2"/>
      <c r="F53" s="6">
        <f t="shared" si="28"/>
        <v>2.2637501435296818E-3</v>
      </c>
      <c r="G53" s="2"/>
      <c r="H53" s="7">
        <v>40</v>
      </c>
      <c r="I53" s="2"/>
      <c r="J53" s="6">
        <f t="shared" si="29"/>
        <v>1.101624896722666E-3</v>
      </c>
      <c r="K53" s="2"/>
      <c r="L53" s="7">
        <f t="shared" si="30"/>
        <v>-0.57000000000000028</v>
      </c>
      <c r="M53" s="2"/>
      <c r="N53" s="6">
        <f t="shared" si="31"/>
        <v>-1.4250000000000007E-2</v>
      </c>
      <c r="O53" s="11"/>
      <c r="P53" s="7">
        <v>118.29</v>
      </c>
      <c r="Q53" s="2"/>
      <c r="R53" s="6">
        <f t="shared" si="32"/>
        <v>4.6705097326963323E-4</v>
      </c>
      <c r="S53" s="2"/>
      <c r="T53" s="7">
        <v>120</v>
      </c>
      <c r="U53" s="2"/>
      <c r="V53" s="6">
        <f t="shared" si="33"/>
        <v>4.6726606519140385E-4</v>
      </c>
      <c r="W53" s="2"/>
      <c r="X53" s="7">
        <f t="shared" si="34"/>
        <v>-1.7099999999999937</v>
      </c>
      <c r="Y53" s="2"/>
      <c r="Z53" s="6">
        <f t="shared" si="35"/>
        <v>-1.4249999999999948E-2</v>
      </c>
    </row>
    <row r="54" spans="1:26" s="28" customFormat="1" outlineLevel="1" collapsed="1" x14ac:dyDescent="0.25">
      <c r="A54" s="27"/>
      <c r="B54" s="14" t="str">
        <f>CONCATENATE("     ","Rent                                              ")</f>
        <v xml:space="preserve">     Rent                                              </v>
      </c>
      <c r="C54" s="14"/>
      <c r="D54" s="1">
        <f>SUM(OSRRefD22_8x_0)</f>
        <v>800</v>
      </c>
      <c r="E54" s="1"/>
      <c r="F54" s="5">
        <f t="shared" si="28"/>
        <v>4.5929498220231943E-2</v>
      </c>
      <c r="G54" s="1"/>
      <c r="H54" s="1">
        <f>SUM(OSRRefH22_8x_0)</f>
        <v>800</v>
      </c>
      <c r="I54" s="1"/>
      <c r="J54" s="5">
        <f t="shared" si="29"/>
        <v>2.2032497934453318E-2</v>
      </c>
      <c r="K54" s="1"/>
      <c r="L54" s="1">
        <f t="shared" si="30"/>
        <v>0</v>
      </c>
      <c r="M54" s="1"/>
      <c r="N54" s="5">
        <f t="shared" si="31"/>
        <v>0</v>
      </c>
      <c r="O54" s="14"/>
      <c r="P54" s="1">
        <f>SUM(OSRRefP22_8x_0)</f>
        <v>2400</v>
      </c>
      <c r="Q54" s="1"/>
      <c r="R54" s="5">
        <f t="shared" si="32"/>
        <v>9.4760532238322738E-3</v>
      </c>
      <c r="S54" s="1"/>
      <c r="T54" s="1">
        <f>SUM(OSRRefT22_8x_0)</f>
        <v>2400</v>
      </c>
      <c r="U54" s="1"/>
      <c r="V54" s="5">
        <f t="shared" si="33"/>
        <v>9.3453213038280775E-3</v>
      </c>
      <c r="W54" s="1"/>
      <c r="X54" s="1">
        <f t="shared" si="34"/>
        <v>0</v>
      </c>
      <c r="Y54" s="1"/>
      <c r="Z54" s="5">
        <f t="shared" si="35"/>
        <v>0</v>
      </c>
    </row>
    <row r="55" spans="1:26" s="24" customFormat="1" hidden="1" outlineLevel="2" x14ac:dyDescent="0.25">
      <c r="A55" s="29"/>
      <c r="B55" s="11" t="str">
        <f>CONCATENATE("          ", "6273", " - ", "RENT")</f>
        <v xml:space="preserve">          6273 - RENT</v>
      </c>
      <c r="C55" s="11"/>
      <c r="D55" s="7">
        <v>800</v>
      </c>
      <c r="E55" s="2"/>
      <c r="F55" s="6">
        <f t="shared" si="28"/>
        <v>4.5929498220231943E-2</v>
      </c>
      <c r="G55" s="2"/>
      <c r="H55" s="7">
        <v>800</v>
      </c>
      <c r="I55" s="2"/>
      <c r="J55" s="6">
        <f t="shared" si="29"/>
        <v>2.2032497934453318E-2</v>
      </c>
      <c r="K55" s="2"/>
      <c r="L55" s="7">
        <f t="shared" si="30"/>
        <v>0</v>
      </c>
      <c r="M55" s="2"/>
      <c r="N55" s="6">
        <f t="shared" si="31"/>
        <v>0</v>
      </c>
      <c r="O55" s="11"/>
      <c r="P55" s="7">
        <v>2400</v>
      </c>
      <c r="Q55" s="2"/>
      <c r="R55" s="6">
        <f t="shared" si="32"/>
        <v>9.4760532238322738E-3</v>
      </c>
      <c r="S55" s="2"/>
      <c r="T55" s="7">
        <v>2400</v>
      </c>
      <c r="U55" s="2"/>
      <c r="V55" s="6">
        <f t="shared" si="33"/>
        <v>9.3453213038280775E-3</v>
      </c>
      <c r="W55" s="2"/>
      <c r="X55" s="7">
        <f t="shared" si="34"/>
        <v>0</v>
      </c>
      <c r="Y55" s="2"/>
      <c r="Z55" s="6">
        <f t="shared" si="35"/>
        <v>0</v>
      </c>
    </row>
    <row r="56" spans="1:26" s="28" customFormat="1" outlineLevel="1" collapsed="1" x14ac:dyDescent="0.25">
      <c r="A56" s="27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SUM(OSRRefD22_9x_0)</f>
        <v>0</v>
      </c>
      <c r="E56" s="1"/>
      <c r="F56" s="5">
        <f t="shared" si="28"/>
        <v>0</v>
      </c>
      <c r="G56" s="1"/>
      <c r="H56" s="1">
        <f>SUM(OSRRefH22_9x_0)</f>
        <v>3200</v>
      </c>
      <c r="I56" s="1"/>
      <c r="J56" s="5">
        <f t="shared" si="29"/>
        <v>8.8129991737813274E-2</v>
      </c>
      <c r="K56" s="1"/>
      <c r="L56" s="1">
        <f t="shared" si="30"/>
        <v>-3200</v>
      </c>
      <c r="M56" s="1"/>
      <c r="N56" s="5">
        <f t="shared" si="31"/>
        <v>-1</v>
      </c>
      <c r="O56" s="14"/>
      <c r="P56" s="1">
        <f>SUM(OSRRefP22_9x_0)</f>
        <v>122000.62</v>
      </c>
      <c r="Q56" s="1"/>
      <c r="R56" s="5">
        <f t="shared" si="32"/>
        <v>0.48170182019189006</v>
      </c>
      <c r="S56" s="1"/>
      <c r="T56" s="1">
        <f>SUM(OSRRefT22_9x_0)</f>
        <v>134600</v>
      </c>
      <c r="U56" s="1"/>
      <c r="V56" s="5">
        <f t="shared" si="33"/>
        <v>0.52411676978969135</v>
      </c>
      <c r="W56" s="1"/>
      <c r="X56" s="1">
        <f t="shared" si="34"/>
        <v>-12599.380000000005</v>
      </c>
      <c r="Y56" s="1"/>
      <c r="Z56" s="5">
        <f t="shared" si="35"/>
        <v>-9.36060921248143E-2</v>
      </c>
    </row>
    <row r="57" spans="1:26" s="24" customFormat="1" hidden="1" outlineLevel="2" x14ac:dyDescent="0.25">
      <c r="A57" s="29"/>
      <c r="B57" s="11" t="str">
        <f>CONCATENATE("          ", "6371", " - ", "COMPUTER SOFTWARE MAINTENANCE")</f>
        <v xml:space="preserve">          6371 - COMPUTER SOFTWARE MAINTENANCE</v>
      </c>
      <c r="C57" s="11"/>
      <c r="D57" s="7"/>
      <c r="E57" s="2"/>
      <c r="F57" s="6">
        <f t="shared" si="28"/>
        <v>0</v>
      </c>
      <c r="G57" s="2"/>
      <c r="H57" s="7"/>
      <c r="I57" s="2"/>
      <c r="J57" s="6">
        <f t="shared" si="29"/>
        <v>0</v>
      </c>
      <c r="K57" s="2"/>
      <c r="L57" s="7">
        <f t="shared" si="30"/>
        <v>0</v>
      </c>
      <c r="M57" s="2"/>
      <c r="N57" s="6">
        <f t="shared" si="31"/>
        <v>0</v>
      </c>
      <c r="O57" s="11"/>
      <c r="P57" s="7"/>
      <c r="Q57" s="2"/>
      <c r="R57" s="6">
        <f t="shared" si="32"/>
        <v>0</v>
      </c>
      <c r="S57" s="2"/>
      <c r="T57" s="7">
        <v>125000</v>
      </c>
      <c r="U57" s="2"/>
      <c r="V57" s="6">
        <f t="shared" si="33"/>
        <v>0.48673548457437904</v>
      </c>
      <c r="W57" s="2"/>
      <c r="X57" s="7">
        <f t="shared" si="34"/>
        <v>-125000</v>
      </c>
      <c r="Y57" s="2"/>
      <c r="Z57" s="6">
        <f t="shared" si="35"/>
        <v>-1</v>
      </c>
    </row>
    <row r="58" spans="1:26" s="24" customFormat="1" hidden="1" outlineLevel="2" x14ac:dyDescent="0.25">
      <c r="A58" s="29"/>
      <c r="B58" s="11" t="str">
        <f>CONCATENATE("          ", "6372", " - ", "COMPUTER HARDWARE MAINTENANCE")</f>
        <v xml:space="preserve">          6372 - COMPUTER HARDWARE MAINTENANCE</v>
      </c>
      <c r="C58" s="11"/>
      <c r="D58" s="7"/>
      <c r="E58" s="2"/>
      <c r="F58" s="6">
        <f t="shared" si="28"/>
        <v>0</v>
      </c>
      <c r="G58" s="2"/>
      <c r="H58" s="7">
        <v>3200</v>
      </c>
      <c r="I58" s="2"/>
      <c r="J58" s="6">
        <f t="shared" si="29"/>
        <v>8.8129991737813274E-2</v>
      </c>
      <c r="K58" s="2"/>
      <c r="L58" s="7">
        <f t="shared" si="30"/>
        <v>-3200</v>
      </c>
      <c r="M58" s="2"/>
      <c r="N58" s="6">
        <f t="shared" si="31"/>
        <v>-1</v>
      </c>
      <c r="O58" s="11"/>
      <c r="P58" s="7"/>
      <c r="Q58" s="2"/>
      <c r="R58" s="6">
        <f t="shared" si="32"/>
        <v>0</v>
      </c>
      <c r="S58" s="2"/>
      <c r="T58" s="7">
        <v>9600</v>
      </c>
      <c r="U58" s="2"/>
      <c r="V58" s="6">
        <f t="shared" si="33"/>
        <v>3.738128521531231E-2</v>
      </c>
      <c r="W58" s="2"/>
      <c r="X58" s="7">
        <f t="shared" si="34"/>
        <v>-9600</v>
      </c>
      <c r="Y58" s="2"/>
      <c r="Z58" s="6">
        <f t="shared" si="35"/>
        <v>-1</v>
      </c>
    </row>
    <row r="59" spans="1:26" s="24" customFormat="1" hidden="1" outlineLevel="2" x14ac:dyDescent="0.25">
      <c r="A59" s="29"/>
      <c r="B59" s="11" t="str">
        <f>CONCATENATE("          ", "6373", " - ", "MAINTENANCE CONTRACTS")</f>
        <v xml:space="preserve">          6373 - MAINTENANCE CONTRACTS</v>
      </c>
      <c r="C59" s="11"/>
      <c r="D59" s="7"/>
      <c r="E59" s="2"/>
      <c r="F59" s="6">
        <f t="shared" si="28"/>
        <v>0</v>
      </c>
      <c r="G59" s="2"/>
      <c r="H59" s="7"/>
      <c r="I59" s="2"/>
      <c r="J59" s="6">
        <f t="shared" si="29"/>
        <v>0</v>
      </c>
      <c r="K59" s="2"/>
      <c r="L59" s="7">
        <f t="shared" si="30"/>
        <v>0</v>
      </c>
      <c r="M59" s="2"/>
      <c r="N59" s="6">
        <f t="shared" si="31"/>
        <v>0</v>
      </c>
      <c r="O59" s="11"/>
      <c r="P59" s="7">
        <v>122000.62</v>
      </c>
      <c r="Q59" s="2"/>
      <c r="R59" s="6">
        <f t="shared" si="32"/>
        <v>0.48170182019189006</v>
      </c>
      <c r="S59" s="2"/>
      <c r="T59" s="7"/>
      <c r="U59" s="2"/>
      <c r="V59" s="6">
        <f t="shared" si="33"/>
        <v>0</v>
      </c>
      <c r="W59" s="2"/>
      <c r="X59" s="7">
        <f t="shared" si="34"/>
        <v>122000.62</v>
      </c>
      <c r="Y59" s="2"/>
      <c r="Z59" s="6">
        <f t="shared" si="35"/>
        <v>0</v>
      </c>
    </row>
    <row r="60" spans="1:26" s="28" customFormat="1" outlineLevel="1" collapsed="1" x14ac:dyDescent="0.25">
      <c r="A60" s="27"/>
      <c r="B60" s="14" t="str">
        <f>CONCATENATE("     ","Subscriptions &amp; Dues                              ")</f>
        <v xml:space="preserve">     Subscriptions &amp; Dues                              </v>
      </c>
      <c r="C60" s="14"/>
      <c r="D60" s="1">
        <f>SUM(OSRRefD22_10x_0)</f>
        <v>0</v>
      </c>
      <c r="E60" s="1"/>
      <c r="F60" s="5">
        <f t="shared" ref="F60:F64" si="36">IF(D$12=0,0,D60/D$12)</f>
        <v>0</v>
      </c>
      <c r="G60" s="1"/>
      <c r="H60" s="1">
        <f>SUM(OSRRefH22_10x_0)</f>
        <v>85</v>
      </c>
      <c r="I60" s="1"/>
      <c r="J60" s="5">
        <f t="shared" ref="J60:J64" si="37">IF(H$12=0,0,H60/H$12)</f>
        <v>2.340952905535665E-3</v>
      </c>
      <c r="K60" s="1"/>
      <c r="L60" s="1">
        <f t="shared" ref="L60:L64" si="38">+D60-H60</f>
        <v>-85</v>
      </c>
      <c r="M60" s="1"/>
      <c r="N60" s="5">
        <f t="shared" ref="N60:N64" si="39">IF(H60=0,0,L60/H60)</f>
        <v>-1</v>
      </c>
      <c r="O60" s="14"/>
      <c r="P60" s="1">
        <f>SUM(OSRRefP22_10x_0)</f>
        <v>0</v>
      </c>
      <c r="Q60" s="1"/>
      <c r="R60" s="5">
        <f t="shared" ref="R60:R64" si="40">IF(P$12=0,0,P60/P$12)</f>
        <v>0</v>
      </c>
      <c r="S60" s="1"/>
      <c r="T60" s="1">
        <f>SUM(OSRRefT22_10x_0)</f>
        <v>255</v>
      </c>
      <c r="U60" s="1"/>
      <c r="V60" s="5">
        <f t="shared" ref="V60:V64" si="41">IF(T$12=0,0,T60/T$12)</f>
        <v>9.9294038853173314E-4</v>
      </c>
      <c r="W60" s="1"/>
      <c r="X60" s="1">
        <f t="shared" ref="X60:X64" si="42">+P60-T60</f>
        <v>-255</v>
      </c>
      <c r="Y60" s="1"/>
      <c r="Z60" s="5">
        <f t="shared" ref="Z60:Z64" si="43">IF(T60=0,0,X60/T60)</f>
        <v>-1</v>
      </c>
    </row>
    <row r="61" spans="1:26" s="24" customFormat="1" hidden="1" outlineLevel="2" x14ac:dyDescent="0.25">
      <c r="A61" s="29"/>
      <c r="B61" s="11" t="str">
        <f>CONCATENATE("          ", "6258", " - ", "MEMBERSHIP DUES")</f>
        <v xml:space="preserve">          6258 - MEMBERSHIP DUES</v>
      </c>
      <c r="C61" s="11"/>
      <c r="D61" s="7"/>
      <c r="E61" s="2"/>
      <c r="F61" s="6">
        <f t="shared" si="36"/>
        <v>0</v>
      </c>
      <c r="G61" s="2"/>
      <c r="H61" s="7">
        <v>85</v>
      </c>
      <c r="I61" s="2"/>
      <c r="J61" s="6">
        <f t="shared" si="37"/>
        <v>2.340952905535665E-3</v>
      </c>
      <c r="K61" s="2"/>
      <c r="L61" s="7">
        <f t="shared" si="38"/>
        <v>-85</v>
      </c>
      <c r="M61" s="2"/>
      <c r="N61" s="6">
        <f t="shared" si="39"/>
        <v>-1</v>
      </c>
      <c r="O61" s="11"/>
      <c r="P61" s="7"/>
      <c r="Q61" s="2"/>
      <c r="R61" s="6">
        <f t="shared" si="40"/>
        <v>0</v>
      </c>
      <c r="S61" s="2"/>
      <c r="T61" s="7">
        <v>255</v>
      </c>
      <c r="U61" s="2"/>
      <c r="V61" s="6">
        <f t="shared" si="41"/>
        <v>9.9294038853173314E-4</v>
      </c>
      <c r="W61" s="2"/>
      <c r="X61" s="7">
        <f t="shared" si="42"/>
        <v>-255</v>
      </c>
      <c r="Y61" s="2"/>
      <c r="Z61" s="6">
        <f t="shared" si="43"/>
        <v>-1</v>
      </c>
    </row>
    <row r="62" spans="1:26" s="28" customFormat="1" outlineLevel="1" collapsed="1" x14ac:dyDescent="0.25">
      <c r="A62" s="27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SUM(OSRRefD22_11x_0)</f>
        <v>18.71</v>
      </c>
      <c r="E62" s="1"/>
      <c r="F62" s="5">
        <f t="shared" si="36"/>
        <v>1.0741761396256746E-3</v>
      </c>
      <c r="G62" s="1"/>
      <c r="H62" s="1">
        <f>SUM(OSRRefH22_11x_0)</f>
        <v>5800</v>
      </c>
      <c r="I62" s="1"/>
      <c r="J62" s="5">
        <f t="shared" si="37"/>
        <v>0.15973561002478656</v>
      </c>
      <c r="K62" s="1"/>
      <c r="L62" s="1">
        <f t="shared" si="38"/>
        <v>-5781.29</v>
      </c>
      <c r="M62" s="1"/>
      <c r="N62" s="5">
        <f t="shared" si="39"/>
        <v>-0.99677413793103453</v>
      </c>
      <c r="O62" s="14"/>
      <c r="P62" s="1">
        <f>SUM(OSRRefP22_11x_0)</f>
        <v>1976.66</v>
      </c>
      <c r="Q62" s="1"/>
      <c r="R62" s="5">
        <f t="shared" si="40"/>
        <v>7.8045564022584599E-3</v>
      </c>
      <c r="S62" s="1"/>
      <c r="T62" s="1">
        <f>SUM(OSRRefT22_11x_0)</f>
        <v>17400</v>
      </c>
      <c r="U62" s="1"/>
      <c r="V62" s="5">
        <f t="shared" si="41"/>
        <v>6.7753579452753565E-2</v>
      </c>
      <c r="W62" s="1"/>
      <c r="X62" s="1">
        <f t="shared" si="42"/>
        <v>-15423.34</v>
      </c>
      <c r="Y62" s="1"/>
      <c r="Z62" s="5">
        <f t="shared" si="43"/>
        <v>-0.88639885057471268</v>
      </c>
    </row>
    <row r="63" spans="1:26" s="24" customFormat="1" hidden="1" outlineLevel="2" x14ac:dyDescent="0.25">
      <c r="A63" s="29"/>
      <c r="B63" s="11" t="str">
        <f>CONCATENATE("          ", "6234", " - ", "EXPENDABLE SUPPLIES &amp; EQUIPMEN")</f>
        <v xml:space="preserve">          6234 - EXPENDABLE SUPPLIES &amp; EQUIPMEN</v>
      </c>
      <c r="C63" s="11"/>
      <c r="D63" s="7"/>
      <c r="E63" s="2"/>
      <c r="F63" s="6">
        <f t="shared" si="36"/>
        <v>0</v>
      </c>
      <c r="G63" s="2"/>
      <c r="H63" s="7">
        <v>5800</v>
      </c>
      <c r="I63" s="2"/>
      <c r="J63" s="6">
        <f t="shared" si="37"/>
        <v>0.15973561002478656</v>
      </c>
      <c r="K63" s="2"/>
      <c r="L63" s="7">
        <f t="shared" si="38"/>
        <v>-5800</v>
      </c>
      <c r="M63" s="2"/>
      <c r="N63" s="6">
        <f t="shared" si="39"/>
        <v>-1</v>
      </c>
      <c r="O63" s="11"/>
      <c r="P63" s="7"/>
      <c r="Q63" s="2"/>
      <c r="R63" s="6">
        <f t="shared" si="40"/>
        <v>0</v>
      </c>
      <c r="S63" s="2"/>
      <c r="T63" s="7">
        <v>17400</v>
      </c>
      <c r="U63" s="2"/>
      <c r="V63" s="6">
        <f t="shared" si="41"/>
        <v>6.7753579452753565E-2</v>
      </c>
      <c r="W63" s="2"/>
      <c r="X63" s="7">
        <f t="shared" si="42"/>
        <v>-17400</v>
      </c>
      <c r="Y63" s="2"/>
      <c r="Z63" s="6">
        <f t="shared" si="43"/>
        <v>-1</v>
      </c>
    </row>
    <row r="64" spans="1:26" s="24" customFormat="1" hidden="1" outlineLevel="2" x14ac:dyDescent="0.25">
      <c r="A64" s="29"/>
      <c r="B64" s="11" t="str">
        <f>CONCATENATE("          ", "6241", " - ", "OFFICE EXPENSE")</f>
        <v xml:space="preserve">          6241 - OFFICE EXPENSE</v>
      </c>
      <c r="C64" s="11"/>
      <c r="D64" s="7">
        <v>18.71</v>
      </c>
      <c r="E64" s="2"/>
      <c r="F64" s="6">
        <f t="shared" si="36"/>
        <v>1.0741761396256746E-3</v>
      </c>
      <c r="G64" s="2"/>
      <c r="H64" s="7"/>
      <c r="I64" s="2"/>
      <c r="J64" s="6">
        <f t="shared" si="37"/>
        <v>0</v>
      </c>
      <c r="K64" s="2"/>
      <c r="L64" s="7">
        <f t="shared" si="38"/>
        <v>18.71</v>
      </c>
      <c r="M64" s="2"/>
      <c r="N64" s="6">
        <f t="shared" si="39"/>
        <v>0</v>
      </c>
      <c r="O64" s="11"/>
      <c r="P64" s="7">
        <v>1976.66</v>
      </c>
      <c r="Q64" s="2"/>
      <c r="R64" s="6">
        <f t="shared" si="40"/>
        <v>7.8045564022584599E-3</v>
      </c>
      <c r="S64" s="2"/>
      <c r="T64" s="7"/>
      <c r="U64" s="2"/>
      <c r="V64" s="6">
        <f t="shared" si="41"/>
        <v>0</v>
      </c>
      <c r="W64" s="2"/>
      <c r="X64" s="7">
        <f t="shared" si="42"/>
        <v>1976.66</v>
      </c>
      <c r="Y64" s="2"/>
      <c r="Z64" s="6">
        <f t="shared" si="43"/>
        <v>0</v>
      </c>
    </row>
    <row r="65" spans="1:26" s="28" customFormat="1" outlineLevel="1" collapsed="1" x14ac:dyDescent="0.25">
      <c r="A65" s="27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SUM(OSRRefD22_12x_0)</f>
        <v>0</v>
      </c>
      <c r="E65" s="1"/>
      <c r="F65" s="5">
        <f t="shared" ref="F65:F66" si="44">IF(D$12=0,0,D65/D$12)</f>
        <v>0</v>
      </c>
      <c r="G65" s="1"/>
      <c r="H65" s="1">
        <f>SUM(OSRRefH22_12x_0)</f>
        <v>350</v>
      </c>
      <c r="I65" s="1"/>
      <c r="J65" s="5">
        <f t="shared" ref="J65:J66" si="45">IF(H$12=0,0,H65/H$12)</f>
        <v>9.6392178463233277E-3</v>
      </c>
      <c r="K65" s="1"/>
      <c r="L65" s="1">
        <f t="shared" ref="L65:L66" si="46">+D65-H65</f>
        <v>-350</v>
      </c>
      <c r="M65" s="1"/>
      <c r="N65" s="5">
        <f t="shared" ref="N65:N66" si="47">IF(H65=0,0,L65/H65)</f>
        <v>-1</v>
      </c>
      <c r="O65" s="14"/>
      <c r="P65" s="1">
        <f>SUM(OSRRefP22_12x_0)</f>
        <v>-163.30000000000001</v>
      </c>
      <c r="Q65" s="1"/>
      <c r="R65" s="5">
        <f t="shared" ref="R65:R66" si="48">IF(P$12=0,0,P65/P$12)</f>
        <v>-6.4476645477158764E-4</v>
      </c>
      <c r="S65" s="1"/>
      <c r="T65" s="1">
        <f>SUM(OSRRefT22_12x_0)</f>
        <v>1050</v>
      </c>
      <c r="U65" s="1"/>
      <c r="V65" s="5">
        <f t="shared" ref="V65:V66" si="49">IF(T$12=0,0,T65/T$12)</f>
        <v>4.0885780704247839E-3</v>
      </c>
      <c r="W65" s="1"/>
      <c r="X65" s="1">
        <f t="shared" ref="X65:X66" si="50">+P65-T65</f>
        <v>-1213.3</v>
      </c>
      <c r="Y65" s="1"/>
      <c r="Z65" s="5">
        <f t="shared" ref="Z65:Z66" si="51">IF(T65=0,0,X65/T65)</f>
        <v>-1.1555238095238094</v>
      </c>
    </row>
    <row r="66" spans="1:26" s="24" customFormat="1" hidden="1" outlineLevel="2" x14ac:dyDescent="0.25">
      <c r="A66" s="29"/>
      <c r="B66" s="11" t="str">
        <f>CONCATENATE("          ", "6309", " - ", "TELEPHONE")</f>
        <v xml:space="preserve">          6309 - TELEPHONE</v>
      </c>
      <c r="C66" s="11"/>
      <c r="D66" s="7">
        <v>0</v>
      </c>
      <c r="E66" s="2"/>
      <c r="F66" s="6">
        <f t="shared" si="44"/>
        <v>0</v>
      </c>
      <c r="G66" s="2"/>
      <c r="H66" s="7">
        <v>350</v>
      </c>
      <c r="I66" s="2"/>
      <c r="J66" s="6">
        <f t="shared" si="45"/>
        <v>9.6392178463233277E-3</v>
      </c>
      <c r="K66" s="2"/>
      <c r="L66" s="7">
        <f t="shared" si="46"/>
        <v>-350</v>
      </c>
      <c r="M66" s="2"/>
      <c r="N66" s="6">
        <f t="shared" si="47"/>
        <v>-1</v>
      </c>
      <c r="O66" s="11"/>
      <c r="P66" s="7">
        <v>-163.30000000000001</v>
      </c>
      <c r="Q66" s="2"/>
      <c r="R66" s="6">
        <f t="shared" si="48"/>
        <v>-6.4476645477158764E-4</v>
      </c>
      <c r="S66" s="2"/>
      <c r="T66" s="7">
        <v>1050</v>
      </c>
      <c r="U66" s="2"/>
      <c r="V66" s="6">
        <f t="shared" si="49"/>
        <v>4.0885780704247839E-3</v>
      </c>
      <c r="W66" s="2"/>
      <c r="X66" s="7">
        <f t="shared" si="50"/>
        <v>-1213.3</v>
      </c>
      <c r="Y66" s="2"/>
      <c r="Z66" s="6">
        <f t="shared" si="51"/>
        <v>-1.1555238095238094</v>
      </c>
    </row>
    <row r="67" spans="1:26" s="58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25">
      <c r="A68" s="10"/>
      <c r="B68" s="26" t="s">
        <v>293</v>
      </c>
      <c r="C68" s="10"/>
      <c r="D68" s="4">
        <f>SUM(OSRRefD25x_0)</f>
        <v>1163.73</v>
      </c>
      <c r="E68" s="4"/>
      <c r="F68" s="12">
        <f t="shared" ref="F68:F69" si="52">IF(D$12=0,0,D68/D$12)</f>
        <v>6.6811918704788156E-2</v>
      </c>
      <c r="G68" s="4"/>
      <c r="H68" s="4">
        <f>SUM(OSRRefH25x_0)</f>
        <v>2400</v>
      </c>
      <c r="I68" s="4"/>
      <c r="J68" s="12">
        <f t="shared" ref="J68:J69" si="53">IF(H$12=0,0,H68/H$12)</f>
        <v>6.6097493803359955E-2</v>
      </c>
      <c r="K68" s="4"/>
      <c r="L68" s="4">
        <f t="shared" ref="L68:L69" si="54">+D68-H68</f>
        <v>-1236.27</v>
      </c>
      <c r="M68" s="4"/>
      <c r="N68" s="12">
        <f t="shared" ref="N68:N69" si="55">IF(H68=0,0,L68/H68)</f>
        <v>-0.51511249999999997</v>
      </c>
      <c r="O68" s="10"/>
      <c r="P68" s="4">
        <f>SUM(OSRRefP25x_0)</f>
        <v>2728.57</v>
      </c>
      <c r="Q68" s="4"/>
      <c r="R68" s="12">
        <f t="shared" ref="R68:R69" si="56">IF(P$12=0,0,P68/P$12)</f>
        <v>1.0773364393730013E-2</v>
      </c>
      <c r="S68" s="4"/>
      <c r="T68" s="4">
        <f>SUM(OSRRefT25x_0)</f>
        <v>7200</v>
      </c>
      <c r="U68" s="4"/>
      <c r="V68" s="12">
        <f t="shared" ref="V68:V69" si="57">IF(T$12=0,0,T68/T$12)</f>
        <v>2.8035963911484232E-2</v>
      </c>
      <c r="W68" s="4"/>
      <c r="X68" s="4">
        <f t="shared" ref="X68:X69" si="58">+P68-T68</f>
        <v>-4471.43</v>
      </c>
      <c r="Y68" s="4"/>
      <c r="Z68" s="12">
        <f t="shared" ref="Z68:Z69" si="59">IF(T68=0,0,X68/T68)</f>
        <v>-0.62103194444444454</v>
      </c>
    </row>
    <row r="69" spans="1:26" s="24" customFormat="1" hidden="1" outlineLevel="1" x14ac:dyDescent="0.25">
      <c r="A69" s="44"/>
      <c r="B69" s="11" t="str">
        <f>CONCATENATE("          ", "9150", " - ", "MISC. INCOME")</f>
        <v xml:space="preserve">          9150 - MISC. INCOME</v>
      </c>
      <c r="C69" s="11"/>
      <c r="D69" s="2">
        <f>--1163.73</f>
        <v>1163.73</v>
      </c>
      <c r="E69" s="2"/>
      <c r="F69" s="19">
        <f t="shared" si="52"/>
        <v>6.6811918704788156E-2</v>
      </c>
      <c r="G69" s="2"/>
      <c r="H69" s="2">
        <v>2400</v>
      </c>
      <c r="I69" s="2"/>
      <c r="J69" s="19">
        <f t="shared" si="53"/>
        <v>6.6097493803359955E-2</v>
      </c>
      <c r="K69" s="2"/>
      <c r="L69" s="2">
        <f t="shared" si="54"/>
        <v>-1236.27</v>
      </c>
      <c r="M69" s="2"/>
      <c r="N69" s="19">
        <f t="shared" si="55"/>
        <v>-0.51511249999999997</v>
      </c>
      <c r="O69" s="11"/>
      <c r="P69" s="2">
        <f>--2728.57</f>
        <v>2728.57</v>
      </c>
      <c r="Q69" s="2"/>
      <c r="R69" s="19">
        <f t="shared" si="56"/>
        <v>1.0773364393730013E-2</v>
      </c>
      <c r="S69" s="2"/>
      <c r="T69" s="2">
        <v>7200</v>
      </c>
      <c r="U69" s="2"/>
      <c r="V69" s="19">
        <f t="shared" si="57"/>
        <v>2.8035963911484232E-2</v>
      </c>
      <c r="W69" s="2"/>
      <c r="X69" s="2">
        <f t="shared" si="58"/>
        <v>-4471.43</v>
      </c>
      <c r="Y69" s="2"/>
      <c r="Z69" s="19">
        <f t="shared" si="59"/>
        <v>-0.62103194444444454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5" t="s">
        <v>277</v>
      </c>
      <c r="C71" s="25"/>
      <c r="D71" s="21">
        <f>+D17-D19+D68</f>
        <v>-0.15999999999939973</v>
      </c>
      <c r="E71" s="13"/>
      <c r="F71" s="20">
        <f>IF(D$12=0,0,D71/D$12)</f>
        <v>-9.1858996440119266E-6</v>
      </c>
      <c r="G71" s="13"/>
      <c r="H71" s="21">
        <f>+H17-H19+H68</f>
        <v>3710.9384708223079</v>
      </c>
      <c r="I71" s="13"/>
      <c r="J71" s="20">
        <f>IF(H$12=0,0,H71/H$12)</f>
        <v>0.10220155524159481</v>
      </c>
      <c r="K71" s="16"/>
      <c r="L71" s="21">
        <f>+D71-H71</f>
        <v>-3711.0984708223073</v>
      </c>
      <c r="M71" s="16"/>
      <c r="N71" s="20">
        <f>IF(H71=0,0,L71/H71)</f>
        <v>-1.0000431157781939</v>
      </c>
      <c r="O71" s="26"/>
      <c r="P71" s="21">
        <f>+P17-P19+P68</f>
        <v>67291.78</v>
      </c>
      <c r="Q71" s="13"/>
      <c r="R71" s="20">
        <f>IF(P$12=0,0,P71/P$12)</f>
        <v>0.26569187033600505</v>
      </c>
      <c r="S71" s="13"/>
      <c r="T71" s="21">
        <f>+T17-T19+T68</f>
        <v>26246.942405172507</v>
      </c>
      <c r="U71" s="13"/>
      <c r="V71" s="20">
        <f>IF(T$12=0,0,T71/T$12)</f>
        <v>0.10220254584141966</v>
      </c>
      <c r="W71" s="16"/>
      <c r="X71" s="21">
        <f>+P71-T71</f>
        <v>41044.837594827492</v>
      </c>
      <c r="Y71" s="16"/>
      <c r="Z71" s="20">
        <f>IF(T71=0,0,X71/T71)</f>
        <v>1.5637950112901056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2"/>
      <c r="B73" s="10" t="s">
        <v>128</v>
      </c>
      <c r="C73" s="10"/>
      <c r="D73" s="4">
        <v>-3895.43</v>
      </c>
      <c r="E73" s="4"/>
      <c r="F73" s="12">
        <f>IF(D$12=0,0,D73/D$12)</f>
        <v>-0.22364393156504764</v>
      </c>
      <c r="G73" s="4"/>
      <c r="H73" s="4">
        <v>3191</v>
      </c>
      <c r="I73" s="4"/>
      <c r="J73" s="12">
        <f>IF(H$12=0,0,H73/H$12)</f>
        <v>8.7882126136050676E-2</v>
      </c>
      <c r="K73" s="4"/>
      <c r="L73" s="4">
        <f>+D73-H73</f>
        <v>-7086.43</v>
      </c>
      <c r="M73" s="4"/>
      <c r="N73" s="12">
        <f>IF(H73=0,0,L73/H73)</f>
        <v>-2.2207552491382012</v>
      </c>
      <c r="O73" s="10"/>
      <c r="P73" s="4">
        <v>31348.65</v>
      </c>
      <c r="Q73" s="4"/>
      <c r="R73" s="12">
        <f>IF(P$12=0,0,P73/P$12)</f>
        <v>0.12377561495637068</v>
      </c>
      <c r="S73" s="4"/>
      <c r="T73" s="4">
        <v>27886</v>
      </c>
      <c r="U73" s="4"/>
      <c r="V73" s="12">
        <f>IF(T$12=0,0,T73/T$12)</f>
        <v>0.10858484578272906</v>
      </c>
      <c r="W73" s="4"/>
      <c r="X73" s="4">
        <f>+P73-T73</f>
        <v>3462.6500000000015</v>
      </c>
      <c r="Y73" s="4"/>
      <c r="Z73" s="12">
        <f>IF(T73=0,0,X73/T73)</f>
        <v>0.12417162733988386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5" t="s">
        <v>126</v>
      </c>
      <c r="C75" s="25"/>
      <c r="D75" s="33">
        <f>+D71-D73</f>
        <v>3895.2700000000004</v>
      </c>
      <c r="E75" s="13"/>
      <c r="F75" s="31">
        <f>IF(D$12=0,0,D75/D$12)</f>
        <v>0.22363474566540362</v>
      </c>
      <c r="G75" s="13"/>
      <c r="H75" s="33">
        <f>+H71-H73</f>
        <v>519.93847082230786</v>
      </c>
      <c r="I75" s="13"/>
      <c r="J75" s="31">
        <f>IF(H$12=0,0,H75/H$12)</f>
        <v>1.4319429105544144E-2</v>
      </c>
      <c r="K75" s="16"/>
      <c r="L75" s="33">
        <f>D75-H75</f>
        <v>3375.3315291776926</v>
      </c>
      <c r="M75" s="16"/>
      <c r="N75" s="31">
        <f>IF(H75=0,0,L75/H75)</f>
        <v>6.4917903148029081</v>
      </c>
      <c r="O75" s="26"/>
      <c r="P75" s="33">
        <f>+P71-P73</f>
        <v>35943.129999999997</v>
      </c>
      <c r="Q75" s="13"/>
      <c r="R75" s="31">
        <f>IF(P$12=0,0,P75/P$12)</f>
        <v>0.14191625537963437</v>
      </c>
      <c r="S75" s="13"/>
      <c r="T75" s="33">
        <f>+T71-T73</f>
        <v>-1639.0575948274927</v>
      </c>
      <c r="U75" s="13"/>
      <c r="V75" s="31">
        <f>IF(T$12=0,0,T75/T$12)</f>
        <v>-6.3822999413094073E-3</v>
      </c>
      <c r="W75" s="16"/>
      <c r="X75" s="33">
        <f>P75-T75</f>
        <v>37582.18759482749</v>
      </c>
      <c r="Y75" s="16"/>
      <c r="Z75" s="31">
        <f>IF(T75=0,0,X75/T75)</f>
        <v>-22.929143987025626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5" t="s">
        <v>294</v>
      </c>
      <c r="C78" s="25"/>
      <c r="D78" s="35">
        <f>SUM(D75:D77)</f>
        <v>3895.2700000000004</v>
      </c>
      <c r="E78" s="13"/>
      <c r="F78" s="34">
        <f>IF(D$12=0,0,D78/D$12)</f>
        <v>0.22363474566540362</v>
      </c>
      <c r="G78" s="13"/>
      <c r="H78" s="35">
        <f>SUM(H75:H77)</f>
        <v>519.93847082230786</v>
      </c>
      <c r="I78" s="13"/>
      <c r="J78" s="34">
        <f>IF(H$12=0,0,H78/H$12)</f>
        <v>1.4319429105544144E-2</v>
      </c>
      <c r="K78" s="16"/>
      <c r="L78" s="35">
        <f>+D78-H78</f>
        <v>3375.3315291776926</v>
      </c>
      <c r="M78" s="16"/>
      <c r="N78" s="34">
        <f>IF(H78=0,0,L78/H78)</f>
        <v>6.4917903148029081</v>
      </c>
      <c r="O78" s="26"/>
      <c r="P78" s="35">
        <f>SUM(P75:P77)</f>
        <v>35943.129999999997</v>
      </c>
      <c r="Q78" s="13"/>
      <c r="R78" s="34">
        <f>IF(P$12=0,0,P78/P$12)</f>
        <v>0.14191625537963437</v>
      </c>
      <c r="S78" s="13"/>
      <c r="T78" s="35">
        <f>SUM(T75:T77)</f>
        <v>-1639.0575948274927</v>
      </c>
      <c r="U78" s="13"/>
      <c r="V78" s="34">
        <f>IF(T$12=0,0,T78/T$12)</f>
        <v>-6.3822999413094073E-3</v>
      </c>
      <c r="W78" s="16"/>
      <c r="X78" s="35">
        <f>+P78-T78</f>
        <v>37582.18759482749</v>
      </c>
      <c r="Y78" s="16"/>
      <c r="Z78" s="34">
        <f>IF(T78=0,0,X78/T78)</f>
        <v>-22.929143987025626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61">
        <v>44481.978956793981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6" t="s">
        <v>56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4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50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50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0" t="s">
        <v>23</v>
      </c>
    </row>
    <row r="3" spans="1:26" x14ac:dyDescent="0.25">
      <c r="D3" s="60" t="s">
        <v>237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63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63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63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5"/>
      <c r="C6" s="45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5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37"/>
      <c r="G9" s="15"/>
      <c r="H9" s="15"/>
      <c r="I9" s="15"/>
      <c r="J9" s="47"/>
      <c r="K9" s="15"/>
      <c r="L9" s="15"/>
      <c r="M9" s="15"/>
      <c r="N9" s="37"/>
      <c r="P9" s="15" t="s">
        <v>39</v>
      </c>
      <c r="Q9" s="15"/>
      <c r="R9" s="37"/>
      <c r="S9" s="15"/>
      <c r="T9" s="15"/>
      <c r="U9" s="15"/>
      <c r="V9" s="47"/>
      <c r="W9" s="15"/>
      <c r="X9" s="15"/>
      <c r="Y9" s="15"/>
      <c r="Z9" s="37"/>
    </row>
    <row r="10" spans="1:26" x14ac:dyDescent="0.25">
      <c r="A10" s="10"/>
      <c r="B10" s="57"/>
      <c r="C10" s="10"/>
      <c r="D10" s="42" t="s">
        <v>57</v>
      </c>
      <c r="E10" s="30"/>
      <c r="F10" s="40" t="s">
        <v>40</v>
      </c>
      <c r="G10" s="30"/>
      <c r="H10" s="51" t="s">
        <v>238</v>
      </c>
      <c r="I10" s="30"/>
      <c r="J10" s="46" t="s">
        <v>58</v>
      </c>
      <c r="K10" s="10"/>
      <c r="L10" s="42" t="s">
        <v>127</v>
      </c>
      <c r="M10" s="10"/>
      <c r="N10" s="40" t="s">
        <v>258</v>
      </c>
      <c r="O10" s="10"/>
      <c r="P10" s="62" t="s">
        <v>57</v>
      </c>
      <c r="Q10" s="30"/>
      <c r="R10" s="40" t="s">
        <v>40</v>
      </c>
      <c r="S10" s="30"/>
      <c r="T10" s="51" t="s">
        <v>238</v>
      </c>
      <c r="U10" s="30"/>
      <c r="V10" s="46" t="s">
        <v>58</v>
      </c>
      <c r="W10" s="10"/>
      <c r="X10" s="42" t="s">
        <v>127</v>
      </c>
      <c r="Y10" s="10"/>
      <c r="Z10" s="40" t="s">
        <v>258</v>
      </c>
    </row>
    <row r="11" spans="1:26" ht="15.75" x14ac:dyDescent="0.25">
      <c r="A11" s="9"/>
      <c r="B11" s="59"/>
      <c r="C11" s="9"/>
      <c r="D11" s="9"/>
      <c r="E11" s="9"/>
      <c r="F11" s="8"/>
      <c r="G11" s="9"/>
      <c r="H11" s="9"/>
      <c r="I11" s="9"/>
      <c r="J11" s="48"/>
      <c r="K11" s="9"/>
      <c r="L11" s="9"/>
      <c r="M11" s="9"/>
      <c r="N11" s="8"/>
      <c r="P11" s="9"/>
      <c r="Q11" s="9"/>
      <c r="R11" s="8"/>
      <c r="S11" s="9"/>
      <c r="T11" s="9"/>
      <c r="U11" s="9"/>
      <c r="V11" s="48"/>
      <c r="W11" s="9"/>
      <c r="X11" s="9"/>
      <c r="Y11" s="9"/>
      <c r="Z11" s="8"/>
    </row>
    <row r="12" spans="1:26" s="23" customFormat="1" collapsed="1" x14ac:dyDescent="0.25">
      <c r="A12" s="10"/>
      <c r="B12" s="26" t="s">
        <v>140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257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108</v>
      </c>
      <c r="C18" s="25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6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295</v>
      </c>
      <c r="C20" s="10"/>
      <c r="D20" s="22" t="e">
        <f ca="1">SUM(_xll.OneStop.ReportPlayer.OSRFunctions.OSRRef(D22))</f>
        <v>#NAME?</v>
      </c>
      <c r="E20" s="22"/>
      <c r="F20" s="32" t="e">
        <f t="shared" ref="F20:F22" ca="1" si="12">IF(D$12=0,0,D20/D$12)</f>
        <v>#NAME?</v>
      </c>
      <c r="G20" s="22"/>
      <c r="H20" s="22" t="e">
        <f ca="1">SUM(_xll.OneStop.ReportPlayer.OSRFunctions.OSRRef(H22))</f>
        <v>#NAME?</v>
      </c>
      <c r="I20" s="22"/>
      <c r="J20" s="32" t="e">
        <f t="shared" ref="J20:J22" ca="1" si="13">IF(H$12=0,0,H20/H$12)</f>
        <v>#NAME?</v>
      </c>
      <c r="K20" s="4"/>
      <c r="L20" s="22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2" t="e">
        <f ca="1">SUM(_xll.OneStop.ReportPlayer.OSRFunctions.OSRRef(P22))</f>
        <v>#NAME?</v>
      </c>
      <c r="Q20" s="22"/>
      <c r="R20" s="32" t="e">
        <f t="shared" ref="R20:R22" ca="1" si="16">IF(P$12=0,0,P20/P$12)</f>
        <v>#NAME?</v>
      </c>
      <c r="S20" s="22"/>
      <c r="T20" s="22" t="e">
        <f ca="1">SUM(_xll.OneStop.ReportPlayer.OSRFunctions.OSRRef(T22))</f>
        <v>#NAME?</v>
      </c>
      <c r="U20" s="22"/>
      <c r="V20" s="32" t="e">
        <f t="shared" ref="V20:V22" ca="1" si="17">IF(T$12=0,0,T20/T$12)</f>
        <v>#NAME?</v>
      </c>
      <c r="W20" s="4"/>
      <c r="X20" s="22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8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293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277</v>
      </c>
      <c r="C27" s="25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6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128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126</v>
      </c>
      <c r="C31" s="25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6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184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82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294</v>
      </c>
      <c r="C36" s="25"/>
      <c r="D36" s="35" t="e">
        <f ca="1">SUM(D31:D35)</f>
        <v>#NAME?</v>
      </c>
      <c r="E36" s="13"/>
      <c r="F36" s="34" t="e">
        <f ca="1">IF(D$12=0,0,D36/D$12)</f>
        <v>#NAME?</v>
      </c>
      <c r="G36" s="13"/>
      <c r="H36" s="35" t="e">
        <f ca="1">SUM(H31:H35)</f>
        <v>#NAME?</v>
      </c>
      <c r="I36" s="13"/>
      <c r="J36" s="34" t="e">
        <f ca="1">IF(H$12=0,0,H36/H$12)</f>
        <v>#NAME?</v>
      </c>
      <c r="K36" s="16"/>
      <c r="L36" s="35" t="e">
        <f ca="1">+D36-H36</f>
        <v>#NAME?</v>
      </c>
      <c r="M36" s="16"/>
      <c r="N36" s="34" t="e">
        <f ca="1">IF(H36=0,0,L36/H36)</f>
        <v>#NAME?</v>
      </c>
      <c r="O36" s="26"/>
      <c r="P36" s="35" t="e">
        <f ca="1">SUM(P31:P35)</f>
        <v>#NAME?</v>
      </c>
      <c r="Q36" s="13"/>
      <c r="R36" s="34" t="e">
        <f ca="1">IF(P$12=0,0,P36/P$12)</f>
        <v>#NAME?</v>
      </c>
      <c r="S36" s="13"/>
      <c r="T36" s="35" t="e">
        <f ca="1">SUM(T31:T35)</f>
        <v>#NAME?</v>
      </c>
      <c r="U36" s="13"/>
      <c r="V36" s="34" t="e">
        <f ca="1">IF(T$12=0,0,T36/T$12)</f>
        <v>#NAME?</v>
      </c>
      <c r="W36" s="16"/>
      <c r="X36" s="35" t="e">
        <f ca="1">+P36-T36</f>
        <v>#NAME?</v>
      </c>
      <c r="Y36" s="16"/>
      <c r="Z36" s="34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4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94</vt:i4>
      </vt:variant>
      <vt:variant>
        <vt:lpstr>Named Ranges</vt:lpstr>
      </vt:variant>
      <vt:variant>
        <vt:i4>3344</vt:i4>
      </vt:variant>
    </vt:vector>
  </HeadingPairs>
  <TitlesOfParts>
    <vt:vector size="3438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332</vt:lpstr>
      <vt:lpstr>301</vt:lpstr>
      <vt:lpstr>330</vt:lpstr>
      <vt:lpstr>307</vt:lpstr>
      <vt:lpstr>308</vt:lpstr>
      <vt:lpstr>311</vt:lpstr>
      <vt:lpstr>324</vt:lpstr>
      <vt:lpstr>331</vt:lpstr>
      <vt:lpstr>315</vt:lpstr>
      <vt:lpstr>326</vt:lpstr>
      <vt:lpstr>316</vt:lpstr>
      <vt:lpstr>Div 6</vt:lpstr>
      <vt:lpstr>317</vt:lpstr>
      <vt:lpstr>310</vt:lpstr>
      <vt:lpstr>309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'310'!OSRRefD13x_0</vt:lpstr>
      <vt:lpstr>'310 &amp; 491'!OSRRefD13x_0</vt:lpstr>
      <vt:lpstr>'311'!OSRRefD13x_0</vt:lpstr>
      <vt:lpstr>'315'!OSRRefD13x_0</vt:lpstr>
      <vt:lpstr>'316'!OSRRefD13x_0</vt:lpstr>
      <vt:lpstr>'317'!OSRRefD13x_0</vt:lpstr>
      <vt:lpstr>'321'!OSRRefD13x_0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'415'!OSRRefD13x_0</vt:lpstr>
      <vt:lpstr>'418'!OSRRefD13x_0</vt:lpstr>
      <vt:lpstr>'433'!OSRRefD13x_0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'310'!OSRRefD16x_0</vt:lpstr>
      <vt:lpstr>'310 &amp; 491'!OSRRefD16x_0</vt:lpstr>
      <vt:lpstr>'311'!OSRRefD16x_0</vt:lpstr>
      <vt:lpstr>'315'!OSRRefD16x_0</vt:lpstr>
      <vt:lpstr>'316'!OSRRefD16x_0</vt:lpstr>
      <vt:lpstr>'317'!OSRRefD16x_0</vt:lpstr>
      <vt:lpstr>'321'!OSRRefD16x_0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'415'!OSRRefD16x_0</vt:lpstr>
      <vt:lpstr>'418'!OSRRefD16x_0</vt:lpstr>
      <vt:lpstr>'425'!OSRRefD16x_0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'315'!OSRRefD22_0x_0</vt:lpstr>
      <vt:lpstr>'316'!OSRRefD22_0x_0</vt:lpstr>
      <vt:lpstr>'317'!OSRRefD22_0x_0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'310'!OSRRefD22_10x_0</vt:lpstr>
      <vt:lpstr>'310 &amp; 491'!OSRRefD22_10x_0</vt:lpstr>
      <vt:lpstr>'311'!OSRRefD22_10x_0</vt:lpstr>
      <vt:lpstr>'315'!OSRRefD22_10x_0</vt:lpstr>
      <vt:lpstr>'316'!OSRRefD22_10x_0</vt:lpstr>
      <vt:lpstr>'321'!OSRRefD22_10x_0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'411'!OSRRefD22_10x_0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'310'!OSRRefD22_11x_0</vt:lpstr>
      <vt:lpstr>'310 &amp; 491'!OSRRefD22_11x_0</vt:lpstr>
      <vt:lpstr>'311'!OSRRefD22_11x_0</vt:lpstr>
      <vt:lpstr>'315'!OSRRefD22_11x_0</vt:lpstr>
      <vt:lpstr>'321'!OSRRefD22_11x_0</vt:lpstr>
      <vt:lpstr>'325'!OSRRefD22_11x_0</vt:lpstr>
      <vt:lpstr>'326'!OSRRefD22_11x_0</vt:lpstr>
      <vt:lpstr>'330'!OSRRefD22_11x_0</vt:lpstr>
      <vt:lpstr>'331'!OSRRefD22_11x_0</vt:lpstr>
      <vt:lpstr>'405'!OSRRefD22_11x_0</vt:lpstr>
      <vt:lpstr>'411'!OSRRefD22_11x_0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Summary!OSRRefD22_11x_0</vt:lpstr>
      <vt:lpstr>'201'!OSRRefD22_12x_0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'310'!OSRRefD22_12x_0</vt:lpstr>
      <vt:lpstr>'310 &amp; 491'!OSRRefD22_12x_0</vt:lpstr>
      <vt:lpstr>'315'!OSRRefD22_12x_0</vt:lpstr>
      <vt:lpstr>'325'!OSRRefD22_12x_0</vt:lpstr>
      <vt:lpstr>'326'!OSRRefD22_12x_0</vt:lpstr>
      <vt:lpstr>'330'!OSRRefD22_12x_0</vt:lpstr>
      <vt:lpstr>'331'!OSRRefD22_12x_0</vt:lpstr>
      <vt:lpstr>'405'!OSRRefD22_12x_0</vt:lpstr>
      <vt:lpstr>'411'!OSRRefD22_12x_0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Summary!OSRRefD22_12x_0</vt:lpstr>
      <vt:lpstr>'203'!OSRRefD22_13x_0</vt:lpstr>
      <vt:lpstr>'300'!OSRRefD22_13x_0</vt:lpstr>
      <vt:lpstr>'300 &amp; 317'!OSRRefD22_13x_0</vt:lpstr>
      <vt:lpstr>'301'!OSRRefD22_13x_0</vt:lpstr>
      <vt:lpstr>'310'!OSRRefD22_13x_0</vt:lpstr>
      <vt:lpstr>'310 &amp; 491'!OSRRefD22_13x_0</vt:lpstr>
      <vt:lpstr>'315'!OSRRefD22_13x_0</vt:lpstr>
      <vt:lpstr>'325'!OSRRefD22_13x_0</vt:lpstr>
      <vt:lpstr>'326'!OSRRefD22_13x_0</vt:lpstr>
      <vt:lpstr>'331'!OSRRefD22_13x_0</vt:lpstr>
      <vt:lpstr>'405'!OSRRefD22_13x_0</vt:lpstr>
      <vt:lpstr>'411'!OSRRefD22_13x_0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'300'!OSRRefD22_14x_0</vt:lpstr>
      <vt:lpstr>'300 &amp; 317'!OSRRefD22_14x_0</vt:lpstr>
      <vt:lpstr>'301'!OSRRefD22_14x_0</vt:lpstr>
      <vt:lpstr>'310'!OSRRefD22_14x_0</vt:lpstr>
      <vt:lpstr>'310 &amp; 491'!OSRRefD22_14x_0</vt:lpstr>
      <vt:lpstr>'315'!OSRRefD22_14x_0</vt:lpstr>
      <vt:lpstr>'325'!OSRRefD22_14x_0</vt:lpstr>
      <vt:lpstr>'326'!OSRRefD22_14x_0</vt:lpstr>
      <vt:lpstr>'331'!OSRRefD22_14x_0</vt:lpstr>
      <vt:lpstr>'405'!OSRRefD22_14x_0</vt:lpstr>
      <vt:lpstr>'415'!OSRRefD22_14x_0</vt:lpstr>
      <vt:lpstr>'418'!OSRRefD22_14x_0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'326'!OSRRefD22_15x_0</vt:lpstr>
      <vt:lpstr>'331'!OSRRefD22_15x_0</vt:lpstr>
      <vt:lpstr>'405'!OSRRefD22_15x_0</vt:lpstr>
      <vt:lpstr>'415'!OSRRefD22_15x_0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'315'!OSRRefD22_16x_0</vt:lpstr>
      <vt:lpstr>'326'!OSRRefD22_16x_0</vt:lpstr>
      <vt:lpstr>'331'!OSRRefD22_16x_0</vt:lpstr>
      <vt:lpstr>'415'!OSRRefD22_16x_0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 &amp; 491'!OSRRefD22_17x_0</vt:lpstr>
      <vt:lpstr>'326'!OSRRefD22_17x_0</vt:lpstr>
      <vt:lpstr>'331'!OSRRefD22_17x_0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 &amp; 491'!OSRRefD22_18x_0</vt:lpstr>
      <vt:lpstr>'331'!OSRRefD22_18x_0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 &amp; 491'!OSRRefD22_19x_0</vt:lpstr>
      <vt:lpstr>'331'!OSRRefD22_19x_0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'315'!OSRRefD22_1x_0</vt:lpstr>
      <vt:lpstr>'316'!OSRRefD22_1x_0</vt:lpstr>
      <vt:lpstr>'317'!OSRRefD22_1x_0</vt:lpstr>
      <vt:lpstr>'321'!OSRRefD22_1x_0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'331'!OSRRefD22_20x_0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'Div 3'!OSRRefD22_22x_0</vt:lpstr>
      <vt:lpstr>Summary!OSRRefD22_22x_0</vt:lpstr>
      <vt:lpstr>'300'!OSRRefD22_23x_0</vt:lpstr>
      <vt:lpstr>'300 &amp; 317'!OSRRefD22_23x_0</vt:lpstr>
      <vt:lpstr>'Div 3'!OSRRefD22_23x_0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'315'!OSRRefD22_2x_0</vt:lpstr>
      <vt:lpstr>'316'!OSRRefD22_2x_0</vt:lpstr>
      <vt:lpstr>'317'!OSRRefD22_2x_0</vt:lpstr>
      <vt:lpstr>'321'!OSRRefD22_2x_0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'411'!OSRRefD22_2x_0</vt:lpstr>
      <vt:lpstr>'412'!OSRRefD22_2x_0</vt:lpstr>
      <vt:lpstr>'413'!OSRRefD22_2x_0</vt:lpstr>
      <vt:lpstr>'415'!OSRRefD22_2x_0</vt:lpstr>
      <vt:lpstr>'418'!OSRRefD22_2x_0</vt:lpstr>
      <vt:lpstr>'423'!OSRRefD22_2x_0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'315'!OSRRefD22_3x_0</vt:lpstr>
      <vt:lpstr>'316'!OSRRefD22_3x_0</vt:lpstr>
      <vt:lpstr>'317'!OSRRefD22_3x_0</vt:lpstr>
      <vt:lpstr>'321'!OSRRefD22_3x_0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'411'!OSRRefD22_3x_0</vt:lpstr>
      <vt:lpstr>'412'!OSRRefD22_3x_0</vt:lpstr>
      <vt:lpstr>'415'!OSRRefD22_3x_0</vt:lpstr>
      <vt:lpstr>'418'!OSRRefD22_3x_0</vt:lpstr>
      <vt:lpstr>'423'!OSRRefD22_3x_0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'310'!OSRRefD22_4x_0</vt:lpstr>
      <vt:lpstr>'310 &amp; 491'!OSRRefD22_4x_0</vt:lpstr>
      <vt:lpstr>'311'!OSRRefD22_4x_0</vt:lpstr>
      <vt:lpstr>'315'!OSRRefD22_4x_0</vt:lpstr>
      <vt:lpstr>'316'!OSRRefD22_4x_0</vt:lpstr>
      <vt:lpstr>'317'!OSRRefD22_4x_0</vt:lpstr>
      <vt:lpstr>'321'!OSRRefD22_4x_0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'411'!OSRRefD22_4x_0</vt:lpstr>
      <vt:lpstr>'415'!OSRRefD22_4x_0</vt:lpstr>
      <vt:lpstr>'418'!OSRRefD22_4x_0</vt:lpstr>
      <vt:lpstr>'423'!OSRRefD22_4x_0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'310'!OSRRefD22_5x_0</vt:lpstr>
      <vt:lpstr>'310 &amp; 491'!OSRRefD22_5x_0</vt:lpstr>
      <vt:lpstr>'311'!OSRRefD22_5x_0</vt:lpstr>
      <vt:lpstr>'315'!OSRRefD22_5x_0</vt:lpstr>
      <vt:lpstr>'316'!OSRRefD22_5x_0</vt:lpstr>
      <vt:lpstr>'317'!OSRRefD22_5x_0</vt:lpstr>
      <vt:lpstr>'321'!OSRRefD22_5x_0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'411'!OSRRefD22_5x_0</vt:lpstr>
      <vt:lpstr>'415'!OSRRefD22_5x_0</vt:lpstr>
      <vt:lpstr>'418'!OSRRefD22_5x_0</vt:lpstr>
      <vt:lpstr>'423'!OSRRefD22_5x_0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'310'!OSRRefD22_6x_0</vt:lpstr>
      <vt:lpstr>'310 &amp; 491'!OSRRefD22_6x_0</vt:lpstr>
      <vt:lpstr>'311'!OSRRefD22_6x_0</vt:lpstr>
      <vt:lpstr>'315'!OSRRefD22_6x_0</vt:lpstr>
      <vt:lpstr>'316'!OSRRefD22_6x_0</vt:lpstr>
      <vt:lpstr>'317'!OSRRefD22_6x_0</vt:lpstr>
      <vt:lpstr>'321'!OSRRefD22_6x_0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'411'!OSRRefD22_6x_0</vt:lpstr>
      <vt:lpstr>'415'!OSRRefD22_6x_0</vt:lpstr>
      <vt:lpstr>'418'!OSRRefD22_6x_0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'310'!OSRRefD22_7x_0</vt:lpstr>
      <vt:lpstr>'310 &amp; 491'!OSRRefD22_7x_0</vt:lpstr>
      <vt:lpstr>'311'!OSRRefD22_7x_0</vt:lpstr>
      <vt:lpstr>'315'!OSRRefD22_7x_0</vt:lpstr>
      <vt:lpstr>'316'!OSRRefD22_7x_0</vt:lpstr>
      <vt:lpstr>'317'!OSRRefD22_7x_0</vt:lpstr>
      <vt:lpstr>'321'!OSRRefD22_7x_0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'411'!OSRRefD22_7x_0</vt:lpstr>
      <vt:lpstr>'415'!OSRRefD22_7x_0</vt:lpstr>
      <vt:lpstr>'418'!OSRRefD22_7x_0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'310'!OSRRefD22_8x_0</vt:lpstr>
      <vt:lpstr>'310 &amp; 491'!OSRRefD22_8x_0</vt:lpstr>
      <vt:lpstr>'311'!OSRRefD22_8x_0</vt:lpstr>
      <vt:lpstr>'315'!OSRRefD22_8x_0</vt:lpstr>
      <vt:lpstr>'316'!OSRRefD22_8x_0</vt:lpstr>
      <vt:lpstr>'317'!OSRRefD22_8x_0</vt:lpstr>
      <vt:lpstr>'321'!OSRRefD22_8x_0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'411'!OSRRefD22_8x_0</vt:lpstr>
      <vt:lpstr>'415'!OSRRefD22_8x_0</vt:lpstr>
      <vt:lpstr>'418'!OSRRefD22_8x_0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'310'!OSRRefD22_9x_0</vt:lpstr>
      <vt:lpstr>'310 &amp; 491'!OSRRefD22_9x_0</vt:lpstr>
      <vt:lpstr>'311'!OSRRefD22_9x_0</vt:lpstr>
      <vt:lpstr>'315'!OSRRefD22_9x_0</vt:lpstr>
      <vt:lpstr>'316'!OSRRefD22_9x_0</vt:lpstr>
      <vt:lpstr>'317'!OSRRefD22_9x_0</vt:lpstr>
      <vt:lpstr>'321'!OSRRefD22_9x_0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'411'!OSRRefD22_9x_0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'315'!OSRRefD22x_0</vt:lpstr>
      <vt:lpstr>'316'!OSRRefD22x_0</vt:lpstr>
      <vt:lpstr>'317'!OSRRefD22x_0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'423'!OSRRefD22x_0</vt:lpstr>
      <vt:lpstr>'424'!OSRRefD22x_0</vt:lpstr>
      <vt:lpstr>'425'!OSRRefD22x_0</vt:lpstr>
      <vt:lpstr>'430'!OSRRefD22x_0</vt:lpstr>
      <vt:lpstr>'433'!OSRRefD22x_0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'411'!OSRRefD25x_0</vt:lpstr>
      <vt:lpstr>'415'!OSRRefD25x_0</vt:lpstr>
      <vt:lpstr>'423'!OSRRefD25x_0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'310'!OSRRefH13x_0</vt:lpstr>
      <vt:lpstr>'310 &amp; 491'!OSRRefH13x_0</vt:lpstr>
      <vt:lpstr>'311'!OSRRefH13x_0</vt:lpstr>
      <vt:lpstr>'315'!OSRRefH13x_0</vt:lpstr>
      <vt:lpstr>'316'!OSRRefH13x_0</vt:lpstr>
      <vt:lpstr>'317'!OSRRefH13x_0</vt:lpstr>
      <vt:lpstr>'321'!OSRRefH13x_0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'415'!OSRRefH13x_0</vt:lpstr>
      <vt:lpstr>'418'!OSRRefH13x_0</vt:lpstr>
      <vt:lpstr>'433'!OSRRefH13x_0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'310'!OSRRefH16x_0</vt:lpstr>
      <vt:lpstr>'310 &amp; 491'!OSRRefH16x_0</vt:lpstr>
      <vt:lpstr>'311'!OSRRefH16x_0</vt:lpstr>
      <vt:lpstr>'315'!OSRRefH16x_0</vt:lpstr>
      <vt:lpstr>'316'!OSRRefH16x_0</vt:lpstr>
      <vt:lpstr>'317'!OSRRefH16x_0</vt:lpstr>
      <vt:lpstr>'321'!OSRRefH16x_0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'415'!OSRRefH16x_0</vt:lpstr>
      <vt:lpstr>'418'!OSRRefH16x_0</vt:lpstr>
      <vt:lpstr>'425'!OSRRefH16x_0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'315'!OSRRefH22_0x_0</vt:lpstr>
      <vt:lpstr>'316'!OSRRefH22_0x_0</vt:lpstr>
      <vt:lpstr>'317'!OSRRefH22_0x_0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'310'!OSRRefH22_10x_0</vt:lpstr>
      <vt:lpstr>'310 &amp; 491'!OSRRefH22_10x_0</vt:lpstr>
      <vt:lpstr>'311'!OSRRefH22_10x_0</vt:lpstr>
      <vt:lpstr>'315'!OSRRefH22_10x_0</vt:lpstr>
      <vt:lpstr>'316'!OSRRefH22_10x_0</vt:lpstr>
      <vt:lpstr>'321'!OSRRefH22_10x_0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'411'!OSRRefH22_10x_0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'310'!OSRRefH22_11x_0</vt:lpstr>
      <vt:lpstr>'310 &amp; 491'!OSRRefH22_11x_0</vt:lpstr>
      <vt:lpstr>'311'!OSRRefH22_11x_0</vt:lpstr>
      <vt:lpstr>'315'!OSRRefH22_11x_0</vt:lpstr>
      <vt:lpstr>'321'!OSRRefH22_11x_0</vt:lpstr>
      <vt:lpstr>'325'!OSRRefH22_11x_0</vt:lpstr>
      <vt:lpstr>'326'!OSRRefH22_11x_0</vt:lpstr>
      <vt:lpstr>'330'!OSRRefH22_11x_0</vt:lpstr>
      <vt:lpstr>'331'!OSRRefH22_11x_0</vt:lpstr>
      <vt:lpstr>'405'!OSRRefH22_11x_0</vt:lpstr>
      <vt:lpstr>'411'!OSRRefH22_11x_0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Summary!OSRRefH22_11x_0</vt:lpstr>
      <vt:lpstr>'201'!OSRRefH22_12x_0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'310'!OSRRefH22_12x_0</vt:lpstr>
      <vt:lpstr>'310 &amp; 491'!OSRRefH22_12x_0</vt:lpstr>
      <vt:lpstr>'315'!OSRRefH22_12x_0</vt:lpstr>
      <vt:lpstr>'325'!OSRRefH22_12x_0</vt:lpstr>
      <vt:lpstr>'326'!OSRRefH22_12x_0</vt:lpstr>
      <vt:lpstr>'330'!OSRRefH22_12x_0</vt:lpstr>
      <vt:lpstr>'331'!OSRRefH22_12x_0</vt:lpstr>
      <vt:lpstr>'405'!OSRRefH22_12x_0</vt:lpstr>
      <vt:lpstr>'411'!OSRRefH22_12x_0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Summary!OSRRefH22_12x_0</vt:lpstr>
      <vt:lpstr>'203'!OSRRefH22_13x_0</vt:lpstr>
      <vt:lpstr>'300'!OSRRefH22_13x_0</vt:lpstr>
      <vt:lpstr>'300 &amp; 317'!OSRRefH22_13x_0</vt:lpstr>
      <vt:lpstr>'301'!OSRRefH22_13x_0</vt:lpstr>
      <vt:lpstr>'310'!OSRRefH22_13x_0</vt:lpstr>
      <vt:lpstr>'310 &amp; 491'!OSRRefH22_13x_0</vt:lpstr>
      <vt:lpstr>'315'!OSRRefH22_13x_0</vt:lpstr>
      <vt:lpstr>'325'!OSRRefH22_13x_0</vt:lpstr>
      <vt:lpstr>'326'!OSRRefH22_13x_0</vt:lpstr>
      <vt:lpstr>'331'!OSRRefH22_13x_0</vt:lpstr>
      <vt:lpstr>'405'!OSRRefH22_13x_0</vt:lpstr>
      <vt:lpstr>'411'!OSRRefH22_13x_0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'300'!OSRRefH22_14x_0</vt:lpstr>
      <vt:lpstr>'300 &amp; 317'!OSRRefH22_14x_0</vt:lpstr>
      <vt:lpstr>'301'!OSRRefH22_14x_0</vt:lpstr>
      <vt:lpstr>'310'!OSRRefH22_14x_0</vt:lpstr>
      <vt:lpstr>'310 &amp; 491'!OSRRefH22_14x_0</vt:lpstr>
      <vt:lpstr>'315'!OSRRefH22_14x_0</vt:lpstr>
      <vt:lpstr>'325'!OSRRefH22_14x_0</vt:lpstr>
      <vt:lpstr>'326'!OSRRefH22_14x_0</vt:lpstr>
      <vt:lpstr>'331'!OSRRefH22_14x_0</vt:lpstr>
      <vt:lpstr>'405'!OSRRefH22_14x_0</vt:lpstr>
      <vt:lpstr>'415'!OSRRefH22_14x_0</vt:lpstr>
      <vt:lpstr>'418'!OSRRefH22_14x_0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'326'!OSRRefH22_15x_0</vt:lpstr>
      <vt:lpstr>'331'!OSRRefH22_15x_0</vt:lpstr>
      <vt:lpstr>'405'!OSRRefH22_15x_0</vt:lpstr>
      <vt:lpstr>'415'!OSRRefH22_15x_0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'315'!OSRRefH22_16x_0</vt:lpstr>
      <vt:lpstr>'326'!OSRRefH22_16x_0</vt:lpstr>
      <vt:lpstr>'331'!OSRRefH22_16x_0</vt:lpstr>
      <vt:lpstr>'415'!OSRRefH22_16x_0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 &amp; 491'!OSRRefH22_17x_0</vt:lpstr>
      <vt:lpstr>'326'!OSRRefH22_17x_0</vt:lpstr>
      <vt:lpstr>'331'!OSRRefH22_17x_0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 &amp; 491'!OSRRefH22_18x_0</vt:lpstr>
      <vt:lpstr>'331'!OSRRefH22_18x_0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 &amp; 491'!OSRRefH22_19x_0</vt:lpstr>
      <vt:lpstr>'331'!OSRRefH22_19x_0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'315'!OSRRefH22_1x_0</vt:lpstr>
      <vt:lpstr>'316'!OSRRefH22_1x_0</vt:lpstr>
      <vt:lpstr>'317'!OSRRefH22_1x_0</vt:lpstr>
      <vt:lpstr>'321'!OSRRefH22_1x_0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'331'!OSRRefH22_20x_0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'Div 3'!OSRRefH22_22x_0</vt:lpstr>
      <vt:lpstr>Summary!OSRRefH22_22x_0</vt:lpstr>
      <vt:lpstr>'300'!OSRRefH22_23x_0</vt:lpstr>
      <vt:lpstr>'300 &amp; 317'!OSRRefH22_23x_0</vt:lpstr>
      <vt:lpstr>'Div 3'!OSRRefH22_23x_0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'315'!OSRRefH22_2x_0</vt:lpstr>
      <vt:lpstr>'316'!OSRRefH22_2x_0</vt:lpstr>
      <vt:lpstr>'317'!OSRRefH22_2x_0</vt:lpstr>
      <vt:lpstr>'321'!OSRRefH22_2x_0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'411'!OSRRefH22_2x_0</vt:lpstr>
      <vt:lpstr>'412'!OSRRefH22_2x_0</vt:lpstr>
      <vt:lpstr>'413'!OSRRefH22_2x_0</vt:lpstr>
      <vt:lpstr>'415'!OSRRefH22_2x_0</vt:lpstr>
      <vt:lpstr>'418'!OSRRefH22_2x_0</vt:lpstr>
      <vt:lpstr>'423'!OSRRefH22_2x_0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'315'!OSRRefH22_3x_0</vt:lpstr>
      <vt:lpstr>'316'!OSRRefH22_3x_0</vt:lpstr>
      <vt:lpstr>'317'!OSRRefH22_3x_0</vt:lpstr>
      <vt:lpstr>'321'!OSRRefH22_3x_0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'411'!OSRRefH22_3x_0</vt:lpstr>
      <vt:lpstr>'412'!OSRRefH22_3x_0</vt:lpstr>
      <vt:lpstr>'415'!OSRRefH22_3x_0</vt:lpstr>
      <vt:lpstr>'418'!OSRRefH22_3x_0</vt:lpstr>
      <vt:lpstr>'423'!OSRRefH22_3x_0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'310'!OSRRefH22_4x_0</vt:lpstr>
      <vt:lpstr>'310 &amp; 491'!OSRRefH22_4x_0</vt:lpstr>
      <vt:lpstr>'311'!OSRRefH22_4x_0</vt:lpstr>
      <vt:lpstr>'315'!OSRRefH22_4x_0</vt:lpstr>
      <vt:lpstr>'316'!OSRRefH22_4x_0</vt:lpstr>
      <vt:lpstr>'317'!OSRRefH22_4x_0</vt:lpstr>
      <vt:lpstr>'321'!OSRRefH22_4x_0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'411'!OSRRefH22_4x_0</vt:lpstr>
      <vt:lpstr>'415'!OSRRefH22_4x_0</vt:lpstr>
      <vt:lpstr>'418'!OSRRefH22_4x_0</vt:lpstr>
      <vt:lpstr>'423'!OSRRefH22_4x_0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'310'!OSRRefH22_5x_0</vt:lpstr>
      <vt:lpstr>'310 &amp; 491'!OSRRefH22_5x_0</vt:lpstr>
      <vt:lpstr>'311'!OSRRefH22_5x_0</vt:lpstr>
      <vt:lpstr>'315'!OSRRefH22_5x_0</vt:lpstr>
      <vt:lpstr>'316'!OSRRefH22_5x_0</vt:lpstr>
      <vt:lpstr>'317'!OSRRefH22_5x_0</vt:lpstr>
      <vt:lpstr>'321'!OSRRefH22_5x_0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'411'!OSRRefH22_5x_0</vt:lpstr>
      <vt:lpstr>'415'!OSRRefH22_5x_0</vt:lpstr>
      <vt:lpstr>'418'!OSRRefH22_5x_0</vt:lpstr>
      <vt:lpstr>'423'!OSRRefH22_5x_0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'310'!OSRRefH22_6x_0</vt:lpstr>
      <vt:lpstr>'310 &amp; 491'!OSRRefH22_6x_0</vt:lpstr>
      <vt:lpstr>'311'!OSRRefH22_6x_0</vt:lpstr>
      <vt:lpstr>'315'!OSRRefH22_6x_0</vt:lpstr>
      <vt:lpstr>'316'!OSRRefH22_6x_0</vt:lpstr>
      <vt:lpstr>'317'!OSRRefH22_6x_0</vt:lpstr>
      <vt:lpstr>'321'!OSRRefH22_6x_0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'411'!OSRRefH22_6x_0</vt:lpstr>
      <vt:lpstr>'415'!OSRRefH22_6x_0</vt:lpstr>
      <vt:lpstr>'418'!OSRRefH22_6x_0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'310'!OSRRefH22_7x_0</vt:lpstr>
      <vt:lpstr>'310 &amp; 491'!OSRRefH22_7x_0</vt:lpstr>
      <vt:lpstr>'311'!OSRRefH22_7x_0</vt:lpstr>
      <vt:lpstr>'315'!OSRRefH22_7x_0</vt:lpstr>
      <vt:lpstr>'316'!OSRRefH22_7x_0</vt:lpstr>
      <vt:lpstr>'317'!OSRRefH22_7x_0</vt:lpstr>
      <vt:lpstr>'321'!OSRRefH22_7x_0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'411'!OSRRefH22_7x_0</vt:lpstr>
      <vt:lpstr>'415'!OSRRefH22_7x_0</vt:lpstr>
      <vt:lpstr>'418'!OSRRefH22_7x_0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'310'!OSRRefH22_8x_0</vt:lpstr>
      <vt:lpstr>'310 &amp; 491'!OSRRefH22_8x_0</vt:lpstr>
      <vt:lpstr>'311'!OSRRefH22_8x_0</vt:lpstr>
      <vt:lpstr>'315'!OSRRefH22_8x_0</vt:lpstr>
      <vt:lpstr>'316'!OSRRefH22_8x_0</vt:lpstr>
      <vt:lpstr>'317'!OSRRefH22_8x_0</vt:lpstr>
      <vt:lpstr>'321'!OSRRefH22_8x_0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'411'!OSRRefH22_8x_0</vt:lpstr>
      <vt:lpstr>'415'!OSRRefH22_8x_0</vt:lpstr>
      <vt:lpstr>'418'!OSRRefH22_8x_0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'310'!OSRRefH22_9x_0</vt:lpstr>
      <vt:lpstr>'310 &amp; 491'!OSRRefH22_9x_0</vt:lpstr>
      <vt:lpstr>'311'!OSRRefH22_9x_0</vt:lpstr>
      <vt:lpstr>'315'!OSRRefH22_9x_0</vt:lpstr>
      <vt:lpstr>'316'!OSRRefH22_9x_0</vt:lpstr>
      <vt:lpstr>'317'!OSRRefH22_9x_0</vt:lpstr>
      <vt:lpstr>'321'!OSRRefH22_9x_0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'411'!OSRRefH22_9x_0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'315'!OSRRefH22x_0</vt:lpstr>
      <vt:lpstr>'316'!OSRRefH22x_0</vt:lpstr>
      <vt:lpstr>'317'!OSRRefH22x_0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'423'!OSRRefH22x_0</vt:lpstr>
      <vt:lpstr>'424'!OSRRefH22x_0</vt:lpstr>
      <vt:lpstr>'425'!OSRRefH22x_0</vt:lpstr>
      <vt:lpstr>'430'!OSRRefH22x_0</vt:lpstr>
      <vt:lpstr>'433'!OSRRefH22x_0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'411'!OSRRefH25x_0</vt:lpstr>
      <vt:lpstr>'415'!OSRRefH25x_0</vt:lpstr>
      <vt:lpstr>'423'!OSRRefH25x_0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'310'!OSRRefP13x_0</vt:lpstr>
      <vt:lpstr>'310 &amp; 491'!OSRRefP13x_0</vt:lpstr>
      <vt:lpstr>'311'!OSRRefP13x_0</vt:lpstr>
      <vt:lpstr>'315'!OSRRefP13x_0</vt:lpstr>
      <vt:lpstr>'316'!OSRRefP13x_0</vt:lpstr>
      <vt:lpstr>'317'!OSRRefP13x_0</vt:lpstr>
      <vt:lpstr>'321'!OSRRefP13x_0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'415'!OSRRefP13x_0</vt:lpstr>
      <vt:lpstr>'418'!OSRRefP13x_0</vt:lpstr>
      <vt:lpstr>'433'!OSRRefP13x_0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'310'!OSRRefP16x_0</vt:lpstr>
      <vt:lpstr>'310 &amp; 491'!OSRRefP16x_0</vt:lpstr>
      <vt:lpstr>'311'!OSRRefP16x_0</vt:lpstr>
      <vt:lpstr>'315'!OSRRefP16x_0</vt:lpstr>
      <vt:lpstr>'316'!OSRRefP16x_0</vt:lpstr>
      <vt:lpstr>'317'!OSRRefP16x_0</vt:lpstr>
      <vt:lpstr>'321'!OSRRefP16x_0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'415'!OSRRefP16x_0</vt:lpstr>
      <vt:lpstr>'418'!OSRRefP16x_0</vt:lpstr>
      <vt:lpstr>'425'!OSRRefP16x_0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'315'!OSRRefP22_0x_0</vt:lpstr>
      <vt:lpstr>'316'!OSRRefP22_0x_0</vt:lpstr>
      <vt:lpstr>'317'!OSRRefP22_0x_0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'310'!OSRRefP22_10x_0</vt:lpstr>
      <vt:lpstr>'310 &amp; 491'!OSRRefP22_10x_0</vt:lpstr>
      <vt:lpstr>'311'!OSRRefP22_10x_0</vt:lpstr>
      <vt:lpstr>'315'!OSRRefP22_10x_0</vt:lpstr>
      <vt:lpstr>'316'!OSRRefP22_10x_0</vt:lpstr>
      <vt:lpstr>'321'!OSRRefP22_10x_0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'411'!OSRRefP22_10x_0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'310'!OSRRefP22_11x_0</vt:lpstr>
      <vt:lpstr>'310 &amp; 491'!OSRRefP22_11x_0</vt:lpstr>
      <vt:lpstr>'311'!OSRRefP22_11x_0</vt:lpstr>
      <vt:lpstr>'315'!OSRRefP22_11x_0</vt:lpstr>
      <vt:lpstr>'321'!OSRRefP22_11x_0</vt:lpstr>
      <vt:lpstr>'325'!OSRRefP22_11x_0</vt:lpstr>
      <vt:lpstr>'326'!OSRRefP22_11x_0</vt:lpstr>
      <vt:lpstr>'330'!OSRRefP22_11x_0</vt:lpstr>
      <vt:lpstr>'331'!OSRRefP22_11x_0</vt:lpstr>
      <vt:lpstr>'405'!OSRRefP22_11x_0</vt:lpstr>
      <vt:lpstr>'411'!OSRRefP22_11x_0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Summary!OSRRefP22_11x_0</vt:lpstr>
      <vt:lpstr>'201'!OSRRefP22_12x_0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'310'!OSRRefP22_12x_0</vt:lpstr>
      <vt:lpstr>'310 &amp; 491'!OSRRefP22_12x_0</vt:lpstr>
      <vt:lpstr>'315'!OSRRefP22_12x_0</vt:lpstr>
      <vt:lpstr>'325'!OSRRefP22_12x_0</vt:lpstr>
      <vt:lpstr>'326'!OSRRefP22_12x_0</vt:lpstr>
      <vt:lpstr>'330'!OSRRefP22_12x_0</vt:lpstr>
      <vt:lpstr>'331'!OSRRefP22_12x_0</vt:lpstr>
      <vt:lpstr>'405'!OSRRefP22_12x_0</vt:lpstr>
      <vt:lpstr>'411'!OSRRefP22_12x_0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Summary!OSRRefP22_12x_0</vt:lpstr>
      <vt:lpstr>'203'!OSRRefP22_13x_0</vt:lpstr>
      <vt:lpstr>'300'!OSRRefP22_13x_0</vt:lpstr>
      <vt:lpstr>'300 &amp; 317'!OSRRefP22_13x_0</vt:lpstr>
      <vt:lpstr>'301'!OSRRefP22_13x_0</vt:lpstr>
      <vt:lpstr>'310'!OSRRefP22_13x_0</vt:lpstr>
      <vt:lpstr>'310 &amp; 491'!OSRRefP22_13x_0</vt:lpstr>
      <vt:lpstr>'315'!OSRRefP22_13x_0</vt:lpstr>
      <vt:lpstr>'325'!OSRRefP22_13x_0</vt:lpstr>
      <vt:lpstr>'326'!OSRRefP22_13x_0</vt:lpstr>
      <vt:lpstr>'331'!OSRRefP22_13x_0</vt:lpstr>
      <vt:lpstr>'405'!OSRRefP22_13x_0</vt:lpstr>
      <vt:lpstr>'411'!OSRRefP22_13x_0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'300'!OSRRefP22_14x_0</vt:lpstr>
      <vt:lpstr>'300 &amp; 317'!OSRRefP22_14x_0</vt:lpstr>
      <vt:lpstr>'301'!OSRRefP22_14x_0</vt:lpstr>
      <vt:lpstr>'310'!OSRRefP22_14x_0</vt:lpstr>
      <vt:lpstr>'310 &amp; 491'!OSRRefP22_14x_0</vt:lpstr>
      <vt:lpstr>'315'!OSRRefP22_14x_0</vt:lpstr>
      <vt:lpstr>'325'!OSRRefP22_14x_0</vt:lpstr>
      <vt:lpstr>'326'!OSRRefP22_14x_0</vt:lpstr>
      <vt:lpstr>'331'!OSRRefP22_14x_0</vt:lpstr>
      <vt:lpstr>'405'!OSRRefP22_14x_0</vt:lpstr>
      <vt:lpstr>'415'!OSRRefP22_14x_0</vt:lpstr>
      <vt:lpstr>'418'!OSRRefP22_14x_0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'326'!OSRRefP22_15x_0</vt:lpstr>
      <vt:lpstr>'331'!OSRRefP22_15x_0</vt:lpstr>
      <vt:lpstr>'405'!OSRRefP22_15x_0</vt:lpstr>
      <vt:lpstr>'415'!OSRRefP22_15x_0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'315'!OSRRefP22_16x_0</vt:lpstr>
      <vt:lpstr>'326'!OSRRefP22_16x_0</vt:lpstr>
      <vt:lpstr>'331'!OSRRefP22_16x_0</vt:lpstr>
      <vt:lpstr>'415'!OSRRefP22_16x_0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 &amp; 491'!OSRRefP22_17x_0</vt:lpstr>
      <vt:lpstr>'326'!OSRRefP22_17x_0</vt:lpstr>
      <vt:lpstr>'331'!OSRRefP22_17x_0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 &amp; 491'!OSRRefP22_18x_0</vt:lpstr>
      <vt:lpstr>'331'!OSRRefP22_18x_0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 &amp; 491'!OSRRefP22_19x_0</vt:lpstr>
      <vt:lpstr>'331'!OSRRefP22_19x_0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'315'!OSRRefP22_1x_0</vt:lpstr>
      <vt:lpstr>'316'!OSRRefP22_1x_0</vt:lpstr>
      <vt:lpstr>'317'!OSRRefP22_1x_0</vt:lpstr>
      <vt:lpstr>'321'!OSRRefP22_1x_0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'331'!OSRRefP22_20x_0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'Div 3'!OSRRefP22_22x_0</vt:lpstr>
      <vt:lpstr>Summary!OSRRefP22_22x_0</vt:lpstr>
      <vt:lpstr>'300'!OSRRefP22_23x_0</vt:lpstr>
      <vt:lpstr>'300 &amp; 317'!OSRRefP22_23x_0</vt:lpstr>
      <vt:lpstr>'Div 3'!OSRRefP22_23x_0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'315'!OSRRefP22_2x_0</vt:lpstr>
      <vt:lpstr>'316'!OSRRefP22_2x_0</vt:lpstr>
      <vt:lpstr>'317'!OSRRefP22_2x_0</vt:lpstr>
      <vt:lpstr>'321'!OSRRefP22_2x_0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'411'!OSRRefP22_2x_0</vt:lpstr>
      <vt:lpstr>'412'!OSRRefP22_2x_0</vt:lpstr>
      <vt:lpstr>'413'!OSRRefP22_2x_0</vt:lpstr>
      <vt:lpstr>'415'!OSRRefP22_2x_0</vt:lpstr>
      <vt:lpstr>'418'!OSRRefP22_2x_0</vt:lpstr>
      <vt:lpstr>'423'!OSRRefP22_2x_0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'315'!OSRRefP22_3x_0</vt:lpstr>
      <vt:lpstr>'316'!OSRRefP22_3x_0</vt:lpstr>
      <vt:lpstr>'317'!OSRRefP22_3x_0</vt:lpstr>
      <vt:lpstr>'321'!OSRRefP22_3x_0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'411'!OSRRefP22_3x_0</vt:lpstr>
      <vt:lpstr>'412'!OSRRefP22_3x_0</vt:lpstr>
      <vt:lpstr>'415'!OSRRefP22_3x_0</vt:lpstr>
      <vt:lpstr>'418'!OSRRefP22_3x_0</vt:lpstr>
      <vt:lpstr>'423'!OSRRefP22_3x_0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'310'!OSRRefP22_4x_0</vt:lpstr>
      <vt:lpstr>'310 &amp; 491'!OSRRefP22_4x_0</vt:lpstr>
      <vt:lpstr>'311'!OSRRefP22_4x_0</vt:lpstr>
      <vt:lpstr>'315'!OSRRefP22_4x_0</vt:lpstr>
      <vt:lpstr>'316'!OSRRefP22_4x_0</vt:lpstr>
      <vt:lpstr>'317'!OSRRefP22_4x_0</vt:lpstr>
      <vt:lpstr>'321'!OSRRefP22_4x_0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'411'!OSRRefP22_4x_0</vt:lpstr>
      <vt:lpstr>'415'!OSRRefP22_4x_0</vt:lpstr>
      <vt:lpstr>'418'!OSRRefP22_4x_0</vt:lpstr>
      <vt:lpstr>'423'!OSRRefP22_4x_0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'310'!OSRRefP22_5x_0</vt:lpstr>
      <vt:lpstr>'310 &amp; 491'!OSRRefP22_5x_0</vt:lpstr>
      <vt:lpstr>'311'!OSRRefP22_5x_0</vt:lpstr>
      <vt:lpstr>'315'!OSRRefP22_5x_0</vt:lpstr>
      <vt:lpstr>'316'!OSRRefP22_5x_0</vt:lpstr>
      <vt:lpstr>'317'!OSRRefP22_5x_0</vt:lpstr>
      <vt:lpstr>'321'!OSRRefP22_5x_0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'411'!OSRRefP22_5x_0</vt:lpstr>
      <vt:lpstr>'415'!OSRRefP22_5x_0</vt:lpstr>
      <vt:lpstr>'418'!OSRRefP22_5x_0</vt:lpstr>
      <vt:lpstr>'423'!OSRRefP22_5x_0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'310'!OSRRefP22_6x_0</vt:lpstr>
      <vt:lpstr>'310 &amp; 491'!OSRRefP22_6x_0</vt:lpstr>
      <vt:lpstr>'311'!OSRRefP22_6x_0</vt:lpstr>
      <vt:lpstr>'315'!OSRRefP22_6x_0</vt:lpstr>
      <vt:lpstr>'316'!OSRRefP22_6x_0</vt:lpstr>
      <vt:lpstr>'317'!OSRRefP22_6x_0</vt:lpstr>
      <vt:lpstr>'321'!OSRRefP22_6x_0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'411'!OSRRefP22_6x_0</vt:lpstr>
      <vt:lpstr>'415'!OSRRefP22_6x_0</vt:lpstr>
      <vt:lpstr>'418'!OSRRefP22_6x_0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'310'!OSRRefP22_7x_0</vt:lpstr>
      <vt:lpstr>'310 &amp; 491'!OSRRefP22_7x_0</vt:lpstr>
      <vt:lpstr>'311'!OSRRefP22_7x_0</vt:lpstr>
      <vt:lpstr>'315'!OSRRefP22_7x_0</vt:lpstr>
      <vt:lpstr>'316'!OSRRefP22_7x_0</vt:lpstr>
      <vt:lpstr>'317'!OSRRefP22_7x_0</vt:lpstr>
      <vt:lpstr>'321'!OSRRefP22_7x_0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'411'!OSRRefP22_7x_0</vt:lpstr>
      <vt:lpstr>'415'!OSRRefP22_7x_0</vt:lpstr>
      <vt:lpstr>'418'!OSRRefP22_7x_0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'310'!OSRRefP22_8x_0</vt:lpstr>
      <vt:lpstr>'310 &amp; 491'!OSRRefP22_8x_0</vt:lpstr>
      <vt:lpstr>'311'!OSRRefP22_8x_0</vt:lpstr>
      <vt:lpstr>'315'!OSRRefP22_8x_0</vt:lpstr>
      <vt:lpstr>'316'!OSRRefP22_8x_0</vt:lpstr>
      <vt:lpstr>'317'!OSRRefP22_8x_0</vt:lpstr>
      <vt:lpstr>'321'!OSRRefP22_8x_0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'411'!OSRRefP22_8x_0</vt:lpstr>
      <vt:lpstr>'415'!OSRRefP22_8x_0</vt:lpstr>
      <vt:lpstr>'418'!OSRRefP22_8x_0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'310'!OSRRefP22_9x_0</vt:lpstr>
      <vt:lpstr>'310 &amp; 491'!OSRRefP22_9x_0</vt:lpstr>
      <vt:lpstr>'311'!OSRRefP22_9x_0</vt:lpstr>
      <vt:lpstr>'315'!OSRRefP22_9x_0</vt:lpstr>
      <vt:lpstr>'316'!OSRRefP22_9x_0</vt:lpstr>
      <vt:lpstr>'317'!OSRRefP22_9x_0</vt:lpstr>
      <vt:lpstr>'321'!OSRRefP22_9x_0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'411'!OSRRefP22_9x_0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'315'!OSRRefP22x_0</vt:lpstr>
      <vt:lpstr>'316'!OSRRefP22x_0</vt:lpstr>
      <vt:lpstr>'317'!OSRRefP22x_0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'423'!OSRRefP22x_0</vt:lpstr>
      <vt:lpstr>'424'!OSRRefP22x_0</vt:lpstr>
      <vt:lpstr>'425'!OSRRefP22x_0</vt:lpstr>
      <vt:lpstr>'430'!OSRRefP22x_0</vt:lpstr>
      <vt:lpstr>'433'!OSRRefP22x_0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'411'!OSRRefP25x_0</vt:lpstr>
      <vt:lpstr>'415'!OSRRefP25x_0</vt:lpstr>
      <vt:lpstr>'423'!OSRRefP25x_0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'310'!OSRRefT13x_0</vt:lpstr>
      <vt:lpstr>'310 &amp; 491'!OSRRefT13x_0</vt:lpstr>
      <vt:lpstr>'311'!OSRRefT13x_0</vt:lpstr>
      <vt:lpstr>'315'!OSRRefT13x_0</vt:lpstr>
      <vt:lpstr>'316'!OSRRefT13x_0</vt:lpstr>
      <vt:lpstr>'317'!OSRRefT13x_0</vt:lpstr>
      <vt:lpstr>'321'!OSRRefT13x_0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'415'!OSRRefT13x_0</vt:lpstr>
      <vt:lpstr>'418'!OSRRefT13x_0</vt:lpstr>
      <vt:lpstr>'433'!OSRRefT13x_0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'310'!OSRRefT16x_0</vt:lpstr>
      <vt:lpstr>'310 &amp; 491'!OSRRefT16x_0</vt:lpstr>
      <vt:lpstr>'311'!OSRRefT16x_0</vt:lpstr>
      <vt:lpstr>'315'!OSRRefT16x_0</vt:lpstr>
      <vt:lpstr>'316'!OSRRefT16x_0</vt:lpstr>
      <vt:lpstr>'317'!OSRRefT16x_0</vt:lpstr>
      <vt:lpstr>'321'!OSRRefT16x_0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'415'!OSRRefT16x_0</vt:lpstr>
      <vt:lpstr>'418'!OSRRefT16x_0</vt:lpstr>
      <vt:lpstr>'425'!OSRRefT16x_0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'315'!OSRRefT22_0x_0</vt:lpstr>
      <vt:lpstr>'316'!OSRRefT22_0x_0</vt:lpstr>
      <vt:lpstr>'317'!OSRRefT22_0x_0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'310'!OSRRefT22_10x_0</vt:lpstr>
      <vt:lpstr>'310 &amp; 491'!OSRRefT22_10x_0</vt:lpstr>
      <vt:lpstr>'311'!OSRRefT22_10x_0</vt:lpstr>
      <vt:lpstr>'315'!OSRRefT22_10x_0</vt:lpstr>
      <vt:lpstr>'316'!OSRRefT22_10x_0</vt:lpstr>
      <vt:lpstr>'321'!OSRRefT22_10x_0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'411'!OSRRefT22_10x_0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'310'!OSRRefT22_11x_0</vt:lpstr>
      <vt:lpstr>'310 &amp; 491'!OSRRefT22_11x_0</vt:lpstr>
      <vt:lpstr>'311'!OSRRefT22_11x_0</vt:lpstr>
      <vt:lpstr>'315'!OSRRefT22_11x_0</vt:lpstr>
      <vt:lpstr>'321'!OSRRefT22_11x_0</vt:lpstr>
      <vt:lpstr>'325'!OSRRefT22_11x_0</vt:lpstr>
      <vt:lpstr>'326'!OSRRefT22_11x_0</vt:lpstr>
      <vt:lpstr>'330'!OSRRefT22_11x_0</vt:lpstr>
      <vt:lpstr>'331'!OSRRefT22_11x_0</vt:lpstr>
      <vt:lpstr>'405'!OSRRefT22_11x_0</vt:lpstr>
      <vt:lpstr>'411'!OSRRefT22_11x_0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Summary!OSRRefT22_11x_0</vt:lpstr>
      <vt:lpstr>'201'!OSRRefT22_12x_0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'310'!OSRRefT22_12x_0</vt:lpstr>
      <vt:lpstr>'310 &amp; 491'!OSRRefT22_12x_0</vt:lpstr>
      <vt:lpstr>'315'!OSRRefT22_12x_0</vt:lpstr>
      <vt:lpstr>'325'!OSRRefT22_12x_0</vt:lpstr>
      <vt:lpstr>'326'!OSRRefT22_12x_0</vt:lpstr>
      <vt:lpstr>'330'!OSRRefT22_12x_0</vt:lpstr>
      <vt:lpstr>'331'!OSRRefT22_12x_0</vt:lpstr>
      <vt:lpstr>'405'!OSRRefT22_12x_0</vt:lpstr>
      <vt:lpstr>'411'!OSRRefT22_12x_0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Summary!OSRRefT22_12x_0</vt:lpstr>
      <vt:lpstr>'203'!OSRRefT22_13x_0</vt:lpstr>
      <vt:lpstr>'300'!OSRRefT22_13x_0</vt:lpstr>
      <vt:lpstr>'300 &amp; 317'!OSRRefT22_13x_0</vt:lpstr>
      <vt:lpstr>'301'!OSRRefT22_13x_0</vt:lpstr>
      <vt:lpstr>'310'!OSRRefT22_13x_0</vt:lpstr>
      <vt:lpstr>'310 &amp; 491'!OSRRefT22_13x_0</vt:lpstr>
      <vt:lpstr>'315'!OSRRefT22_13x_0</vt:lpstr>
      <vt:lpstr>'325'!OSRRefT22_13x_0</vt:lpstr>
      <vt:lpstr>'326'!OSRRefT22_13x_0</vt:lpstr>
      <vt:lpstr>'331'!OSRRefT22_13x_0</vt:lpstr>
      <vt:lpstr>'405'!OSRRefT22_13x_0</vt:lpstr>
      <vt:lpstr>'411'!OSRRefT22_13x_0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'300'!OSRRefT22_14x_0</vt:lpstr>
      <vt:lpstr>'300 &amp; 317'!OSRRefT22_14x_0</vt:lpstr>
      <vt:lpstr>'301'!OSRRefT22_14x_0</vt:lpstr>
      <vt:lpstr>'310'!OSRRefT22_14x_0</vt:lpstr>
      <vt:lpstr>'310 &amp; 491'!OSRRefT22_14x_0</vt:lpstr>
      <vt:lpstr>'315'!OSRRefT22_14x_0</vt:lpstr>
      <vt:lpstr>'325'!OSRRefT22_14x_0</vt:lpstr>
      <vt:lpstr>'326'!OSRRefT22_14x_0</vt:lpstr>
      <vt:lpstr>'331'!OSRRefT22_14x_0</vt:lpstr>
      <vt:lpstr>'405'!OSRRefT22_14x_0</vt:lpstr>
      <vt:lpstr>'415'!OSRRefT22_14x_0</vt:lpstr>
      <vt:lpstr>'418'!OSRRefT22_14x_0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'326'!OSRRefT22_15x_0</vt:lpstr>
      <vt:lpstr>'331'!OSRRefT22_15x_0</vt:lpstr>
      <vt:lpstr>'405'!OSRRefT22_15x_0</vt:lpstr>
      <vt:lpstr>'415'!OSRRefT22_15x_0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'315'!OSRRefT22_16x_0</vt:lpstr>
      <vt:lpstr>'326'!OSRRefT22_16x_0</vt:lpstr>
      <vt:lpstr>'331'!OSRRefT22_16x_0</vt:lpstr>
      <vt:lpstr>'415'!OSRRefT22_16x_0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 &amp; 491'!OSRRefT22_17x_0</vt:lpstr>
      <vt:lpstr>'326'!OSRRefT22_17x_0</vt:lpstr>
      <vt:lpstr>'331'!OSRRefT22_17x_0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 &amp; 491'!OSRRefT22_18x_0</vt:lpstr>
      <vt:lpstr>'331'!OSRRefT22_18x_0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 &amp; 491'!OSRRefT22_19x_0</vt:lpstr>
      <vt:lpstr>'331'!OSRRefT22_19x_0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'315'!OSRRefT22_1x_0</vt:lpstr>
      <vt:lpstr>'316'!OSRRefT22_1x_0</vt:lpstr>
      <vt:lpstr>'317'!OSRRefT22_1x_0</vt:lpstr>
      <vt:lpstr>'321'!OSRRefT22_1x_0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'331'!OSRRefT22_20x_0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'Div 3'!OSRRefT22_22x_0</vt:lpstr>
      <vt:lpstr>Summary!OSRRefT22_22x_0</vt:lpstr>
      <vt:lpstr>'300'!OSRRefT22_23x_0</vt:lpstr>
      <vt:lpstr>'300 &amp; 317'!OSRRefT22_23x_0</vt:lpstr>
      <vt:lpstr>'Div 3'!OSRRefT22_23x_0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'315'!OSRRefT22_2x_0</vt:lpstr>
      <vt:lpstr>'316'!OSRRefT22_2x_0</vt:lpstr>
      <vt:lpstr>'317'!OSRRefT22_2x_0</vt:lpstr>
      <vt:lpstr>'321'!OSRRefT22_2x_0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'411'!OSRRefT22_2x_0</vt:lpstr>
      <vt:lpstr>'412'!OSRRefT22_2x_0</vt:lpstr>
      <vt:lpstr>'413'!OSRRefT22_2x_0</vt:lpstr>
      <vt:lpstr>'415'!OSRRefT22_2x_0</vt:lpstr>
      <vt:lpstr>'418'!OSRRefT22_2x_0</vt:lpstr>
      <vt:lpstr>'423'!OSRRefT22_2x_0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'315'!OSRRefT22_3x_0</vt:lpstr>
      <vt:lpstr>'316'!OSRRefT22_3x_0</vt:lpstr>
      <vt:lpstr>'317'!OSRRefT22_3x_0</vt:lpstr>
      <vt:lpstr>'321'!OSRRefT22_3x_0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'411'!OSRRefT22_3x_0</vt:lpstr>
      <vt:lpstr>'412'!OSRRefT22_3x_0</vt:lpstr>
      <vt:lpstr>'415'!OSRRefT22_3x_0</vt:lpstr>
      <vt:lpstr>'418'!OSRRefT22_3x_0</vt:lpstr>
      <vt:lpstr>'423'!OSRRefT22_3x_0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'310'!OSRRefT22_4x_0</vt:lpstr>
      <vt:lpstr>'310 &amp; 491'!OSRRefT22_4x_0</vt:lpstr>
      <vt:lpstr>'311'!OSRRefT22_4x_0</vt:lpstr>
      <vt:lpstr>'315'!OSRRefT22_4x_0</vt:lpstr>
      <vt:lpstr>'316'!OSRRefT22_4x_0</vt:lpstr>
      <vt:lpstr>'317'!OSRRefT22_4x_0</vt:lpstr>
      <vt:lpstr>'321'!OSRRefT22_4x_0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'411'!OSRRefT22_4x_0</vt:lpstr>
      <vt:lpstr>'415'!OSRRefT22_4x_0</vt:lpstr>
      <vt:lpstr>'418'!OSRRefT22_4x_0</vt:lpstr>
      <vt:lpstr>'423'!OSRRefT22_4x_0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'310'!OSRRefT22_5x_0</vt:lpstr>
      <vt:lpstr>'310 &amp; 491'!OSRRefT22_5x_0</vt:lpstr>
      <vt:lpstr>'311'!OSRRefT22_5x_0</vt:lpstr>
      <vt:lpstr>'315'!OSRRefT22_5x_0</vt:lpstr>
      <vt:lpstr>'316'!OSRRefT22_5x_0</vt:lpstr>
      <vt:lpstr>'317'!OSRRefT22_5x_0</vt:lpstr>
      <vt:lpstr>'321'!OSRRefT22_5x_0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'411'!OSRRefT22_5x_0</vt:lpstr>
      <vt:lpstr>'415'!OSRRefT22_5x_0</vt:lpstr>
      <vt:lpstr>'418'!OSRRefT22_5x_0</vt:lpstr>
      <vt:lpstr>'423'!OSRRefT22_5x_0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'310'!OSRRefT22_6x_0</vt:lpstr>
      <vt:lpstr>'310 &amp; 491'!OSRRefT22_6x_0</vt:lpstr>
      <vt:lpstr>'311'!OSRRefT22_6x_0</vt:lpstr>
      <vt:lpstr>'315'!OSRRefT22_6x_0</vt:lpstr>
      <vt:lpstr>'316'!OSRRefT22_6x_0</vt:lpstr>
      <vt:lpstr>'317'!OSRRefT22_6x_0</vt:lpstr>
      <vt:lpstr>'321'!OSRRefT22_6x_0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'411'!OSRRefT22_6x_0</vt:lpstr>
      <vt:lpstr>'415'!OSRRefT22_6x_0</vt:lpstr>
      <vt:lpstr>'418'!OSRRefT22_6x_0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'310'!OSRRefT22_7x_0</vt:lpstr>
      <vt:lpstr>'310 &amp; 491'!OSRRefT22_7x_0</vt:lpstr>
      <vt:lpstr>'311'!OSRRefT22_7x_0</vt:lpstr>
      <vt:lpstr>'315'!OSRRefT22_7x_0</vt:lpstr>
      <vt:lpstr>'316'!OSRRefT22_7x_0</vt:lpstr>
      <vt:lpstr>'317'!OSRRefT22_7x_0</vt:lpstr>
      <vt:lpstr>'321'!OSRRefT22_7x_0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'411'!OSRRefT22_7x_0</vt:lpstr>
      <vt:lpstr>'415'!OSRRefT22_7x_0</vt:lpstr>
      <vt:lpstr>'418'!OSRRefT22_7x_0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'310'!OSRRefT22_8x_0</vt:lpstr>
      <vt:lpstr>'310 &amp; 491'!OSRRefT22_8x_0</vt:lpstr>
      <vt:lpstr>'311'!OSRRefT22_8x_0</vt:lpstr>
      <vt:lpstr>'315'!OSRRefT22_8x_0</vt:lpstr>
      <vt:lpstr>'316'!OSRRefT22_8x_0</vt:lpstr>
      <vt:lpstr>'317'!OSRRefT22_8x_0</vt:lpstr>
      <vt:lpstr>'321'!OSRRefT22_8x_0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'411'!OSRRefT22_8x_0</vt:lpstr>
      <vt:lpstr>'415'!OSRRefT22_8x_0</vt:lpstr>
      <vt:lpstr>'418'!OSRRefT22_8x_0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'310'!OSRRefT22_9x_0</vt:lpstr>
      <vt:lpstr>'310 &amp; 491'!OSRRefT22_9x_0</vt:lpstr>
      <vt:lpstr>'311'!OSRRefT22_9x_0</vt:lpstr>
      <vt:lpstr>'315'!OSRRefT22_9x_0</vt:lpstr>
      <vt:lpstr>'316'!OSRRefT22_9x_0</vt:lpstr>
      <vt:lpstr>'317'!OSRRefT22_9x_0</vt:lpstr>
      <vt:lpstr>'321'!OSRRefT22_9x_0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'411'!OSRRefT22_9x_0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'315'!OSRRefT22x_0</vt:lpstr>
      <vt:lpstr>'316'!OSRRefT22x_0</vt:lpstr>
      <vt:lpstr>'317'!OSRRefT22x_0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'423'!OSRRefT22x_0</vt:lpstr>
      <vt:lpstr>'424'!OSRRefT22x_0</vt:lpstr>
      <vt:lpstr>'425'!OSRRefT22x_0</vt:lpstr>
      <vt:lpstr>'430'!OSRRefT22x_0</vt:lpstr>
      <vt:lpstr>'433'!OSRRefT22x_0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'411'!OSRRefT25x_0</vt:lpstr>
      <vt:lpstr>'415'!OSRRefT25x_0</vt:lpstr>
      <vt:lpstr>'423'!OSRRefT25x_0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'423'!Print_Area</vt:lpstr>
      <vt:lpstr>'424'!Print_Area</vt:lpstr>
      <vt:lpstr>'425'!Print_Area</vt:lpstr>
      <vt:lpstr>'430'!Print_Area</vt:lpstr>
      <vt:lpstr>'433'!Print_Area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'423'!Print_Titles</vt:lpstr>
      <vt:lpstr>'424'!Print_Titles</vt:lpstr>
      <vt:lpstr>'425'!Print_Titles</vt:lpstr>
      <vt:lpstr>'430'!Print_Titles</vt:lpstr>
      <vt:lpstr>'433'!Print_Titles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2021-10-12T23:31:20Z</dcterms:created>
  <dcterms:modified xsi:type="dcterms:W3CDTF">2021-10-12T23:33:49Z</dcterms:modified>
</cp:coreProperties>
</file>